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ORMULA RATES PJM\PJM Transmission Rates\Projected\2024 Projection\TRANSCOS\Sent to PJM\"/>
    </mc:Choice>
  </mc:AlternateContent>
  <xr:revisionPtr revIDLastSave="0" documentId="13_ncr:1_{4722AA00-D8B1-437F-B19A-9B3C0FB9CA72}" xr6:coauthVersionLast="47" xr6:coauthVersionMax="47" xr10:uidLastSave="{00000000-0000-0000-0000-000000000000}"/>
  <bookViews>
    <workbookView xWindow="-120" yWindow="-120" windowWidth="29040" windowHeight="15840" tabRatio="753" xr2:uid="{00000000-000D-0000-FFFF-FFFF00000000}"/>
  </bookViews>
  <sheets>
    <sheet name="TransCo PJM Zonal Rates" sheetId="1" r:id="rId1"/>
    <sheet name="TransCo PJM 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Rates'!$A$1:$R$31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91029"/>
  <customWorkbookViews>
    <customWorkbookView name="AEP - Personal View" guid="{51F5E52F-0ED7-45F8-995B-A008B15FCDF4}" mergeInterval="0" personalView="1" maximized="1" windowWidth="1020" windowHeight="553" tabRatio="9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4" i="2"/>
  <c r="A4" i="1"/>
  <c r="A5" i="1"/>
  <c r="K49" i="1" l="1"/>
  <c r="K52" i="1" s="1"/>
  <c r="D49" i="1"/>
  <c r="E24" i="2"/>
  <c r="D29" i="2"/>
  <c r="I28" i="1"/>
  <c r="D39" i="1"/>
  <c r="I50" i="1"/>
  <c r="B17" i="1"/>
  <c r="B19" i="1" s="1"/>
  <c r="D46" i="1"/>
  <c r="D45" i="1"/>
  <c r="D44" i="1"/>
  <c r="D43" i="1"/>
  <c r="D42" i="1"/>
  <c r="D41" i="1"/>
  <c r="D40" i="1"/>
  <c r="G20" i="2"/>
  <c r="I23" i="1"/>
  <c r="B16" i="2"/>
  <c r="B17" i="2" s="1"/>
  <c r="G23" i="1"/>
  <c r="G28" i="1"/>
  <c r="G50" i="1"/>
  <c r="K24" i="1"/>
  <c r="E18" i="2" l="1"/>
  <c r="B18" i="2"/>
  <c r="B21" i="1"/>
  <c r="B22" i="1" s="1"/>
  <c r="B23" i="1" s="1"/>
  <c r="B24" i="1" s="1"/>
  <c r="G49" i="1" l="1"/>
  <c r="B26" i="1"/>
  <c r="G26" i="1"/>
  <c r="B20" i="2"/>
  <c r="B22" i="2" s="1"/>
  <c r="B24" i="2" s="1"/>
  <c r="B26" i="2" s="1"/>
  <c r="B29" i="2" l="1"/>
  <c r="B31" i="2" s="1"/>
  <c r="B28" i="1"/>
  <c r="B30" i="1" s="1"/>
  <c r="E22" i="2"/>
  <c r="B32" i="1" l="1"/>
  <c r="B36" i="1" s="1"/>
  <c r="G30" i="1"/>
  <c r="E31" i="2"/>
  <c r="G36" i="1" l="1"/>
  <c r="B39" i="1"/>
  <c r="B40" i="1" s="1"/>
  <c r="G40" i="1" l="1"/>
  <c r="G41" i="1"/>
  <c r="B41" i="1"/>
  <c r="B42" i="1" s="1"/>
  <c r="B43" i="1" s="1"/>
  <c r="B44" i="1" s="1"/>
  <c r="B45" i="1" s="1"/>
  <c r="B46" i="1" s="1"/>
  <c r="B49" i="1" s="1"/>
  <c r="B50" i="1" s="1"/>
  <c r="B51" i="1" s="1"/>
  <c r="B52" i="1" s="1"/>
  <c r="G42" i="1"/>
  <c r="G44" i="1"/>
  <c r="G46" i="1"/>
  <c r="G43" i="1"/>
  <c r="G45" i="1"/>
  <c r="Q18" i="2" l="1"/>
  <c r="Q22" i="2" s="1"/>
  <c r="Q26" i="2" s="1"/>
  <c r="I18" i="2" l="1"/>
  <c r="I22" i="2" s="1"/>
  <c r="I26" i="2" l="1"/>
  <c r="K18" i="2" l="1"/>
  <c r="K22" i="2" s="1"/>
  <c r="K26" i="2" l="1"/>
  <c r="M18" i="2" l="1"/>
  <c r="M22" i="2" s="1"/>
  <c r="M26" i="2" l="1"/>
  <c r="G24" i="2" l="1"/>
  <c r="I34" i="1" l="1"/>
  <c r="I17" i="1" l="1"/>
  <c r="G17" i="2" l="1"/>
  <c r="G16" i="2"/>
  <c r="O18" i="2" l="1"/>
  <c r="O22" i="2" s="1"/>
  <c r="G15" i="2"/>
  <c r="G18" i="2" s="1"/>
  <c r="O26" i="2" l="1"/>
  <c r="G26" i="2" s="1"/>
  <c r="G31" i="2" s="1"/>
  <c r="G22" i="2"/>
  <c r="I51" i="1" l="1"/>
  <c r="I32" i="1" l="1"/>
  <c r="Q19" i="1" l="1"/>
  <c r="Q24" i="1" l="1"/>
  <c r="Q26" i="1" s="1"/>
  <c r="Q49" i="1"/>
  <c r="Q52" i="1" l="1"/>
  <c r="Q30" i="1"/>
  <c r="Q36" i="1" s="1"/>
  <c r="O19" i="1" l="1"/>
  <c r="O24" i="1" l="1"/>
  <c r="O26" i="1" s="1"/>
  <c r="O30" i="1" s="1"/>
  <c r="O36" i="1" s="1"/>
  <c r="O49" i="1"/>
  <c r="O52" i="1" s="1"/>
  <c r="M19" i="1" l="1"/>
  <c r="M49" i="1" l="1"/>
  <c r="M52" i="1" s="1"/>
  <c r="M24" i="1"/>
  <c r="M26" i="1" s="1"/>
  <c r="M30" i="1" s="1"/>
  <c r="M36" i="1" s="1"/>
  <c r="K19" i="1" l="1"/>
  <c r="K26" i="1" l="1"/>
  <c r="K30" i="1" l="1"/>
  <c r="K36" i="1" s="1"/>
  <c r="S19" i="1" l="1"/>
  <c r="I19" i="1" s="1"/>
  <c r="I15" i="1"/>
  <c r="S24" i="1" l="1"/>
  <c r="S26" i="1" s="1"/>
  <c r="S49" i="1"/>
  <c r="I22" i="1"/>
  <c r="I24" i="1" s="1"/>
  <c r="S52" i="1" l="1"/>
  <c r="I49" i="1"/>
  <c r="I52" i="1" s="1"/>
  <c r="S30" i="1"/>
  <c r="S36" i="1" s="1"/>
  <c r="I26" i="1"/>
  <c r="I30" i="1" s="1"/>
  <c r="I36" i="1" s="1"/>
  <c r="I40" i="1" s="1"/>
  <c r="I44" i="1" l="1"/>
  <c r="I42" i="1"/>
  <c r="I45" i="1"/>
  <c r="I46" i="1"/>
  <c r="I43" i="1"/>
  <c r="I41" i="1"/>
</calcChain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<sst xmlns="http://schemas.openxmlformats.org/spreadsheetml/2006/main" count="102" uniqueCount="56">
  <si>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</si>
  <si>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</si>
  <si>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</si>
  <si>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</si>
  <si>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</si>
  <si>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</si>
  <si>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</si>
  <si>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</si>
  <si>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</si>
  <si>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</si>
  <si>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</si>
  <si>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</si>
  <si>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</si>
  <si>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</si>
  <si>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</si>
  <si>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</si>
  <si>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</si>
  <si>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</si>
  <si>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</si>
  <si>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</si>
  <si>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</si>
  <si>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</si>
  <si>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</si>
  <si>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</si>
  <si>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</si>
  <si>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</si>
  <si>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</si>
  <si>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</si>
  <si>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</si>
  <si>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</si>
  <si>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</si>
  <si>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</si>
  <si>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</si>
  <si>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</si>
  <si>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</si>
  <si>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</si>
  <si>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</si>
  <si>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</si>
  <si>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</si>
  <si>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</si>
  <si>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</si>
  <si>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</si>
  <si>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</si>
  <si>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</si>
  <si>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</si>
  <si>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</si>
  <si>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</si>
  <si>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</si>
  <si>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</si>
  <si>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 xml:space="preserve">EXISTING AEPTCo PTRR FOR AEP ZONE OF PJM OATT </t>
  </si>
  <si>
    <t>RTEP PTRR FOR PJM COLLECTION UNDER SCHEDULE 12</t>
  </si>
  <si>
    <t>11a</t>
  </si>
  <si>
    <t>Facility Credits under PJM OATT Section 30.9</t>
  </si>
  <si>
    <t>(TCOS Ln 3)</t>
  </si>
  <si>
    <t>TRUE-UP ADJUSTMENT INCLUDING INTEREST (2018)</t>
  </si>
  <si>
    <t>PRIOR YEAR TRUE-UP (2021 INCLUDING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</si>
</sst>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</numFmts>
  <fonts count="22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</font>
    <font>
      <b/>
      <sz val="16"/>
      <name val="Arial"/>
      <family val="2"/>
    </font>
    <font>
      <b/>
      <u/>
      <sz val="16"/>
      <name val="Arial MT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67">
    <xf numFmtId="0" fontId="0" fillId="0" borderId="0" xfId="0"/>
    <xf numFmtId="165" fontId="5" fillId="0" borderId="0" xfId="3" applyFont="1" applyAlignment="1"/>
    <xf numFmtId="165" fontId="2" fillId="0" borderId="0" xfId="3" applyFont="1" applyAlignment="1" applyProtection="1">
      <protection locked="0"/>
    </xf>
    <xf numFmtId="165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165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4" fontId="5" fillId="0" borderId="0" xfId="3" applyNumberFormat="1" applyFont="1" applyAlignment="1"/>
    <xf numFmtId="1" fontId="5" fillId="0" borderId="0" xfId="3" applyNumberFormat="1" applyFont="1" applyAlignment="1" applyProtection="1">
      <alignment horizontal="center"/>
      <protection locked="0"/>
    </xf>
    <xf numFmtId="164" fontId="5" fillId="0" borderId="0" xfId="3" applyNumberFormat="1" applyFont="1" applyAlignment="1" applyProtection="1">
      <protection locked="0"/>
    </xf>
    <xf numFmtId="165" fontId="2" fillId="0" borderId="0" xfId="3" applyFont="1" applyAlignment="1"/>
    <xf numFmtId="0" fontId="5" fillId="0" borderId="2" xfId="3" applyNumberFormat="1" applyFont="1" applyBorder="1" applyProtection="1">
      <protection locked="0"/>
    </xf>
    <xf numFmtId="1" fontId="5" fillId="0" borderId="2" xfId="3" applyNumberFormat="1" applyFont="1" applyBorder="1" applyAlignment="1" applyProtection="1">
      <alignment horizontal="center"/>
      <protection locked="0"/>
    </xf>
    <xf numFmtId="164" fontId="5" fillId="0" borderId="3" xfId="3" applyNumberFormat="1" applyFont="1" applyBorder="1" applyAlignment="1" applyProtection="1">
      <protection locked="0"/>
    </xf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43" fontId="5" fillId="0" borderId="0" xfId="1" applyFont="1" applyAlignment="1"/>
    <xf numFmtId="165" fontId="5" fillId="0" borderId="0" xfId="3" applyFont="1" applyFill="1" applyAlignment="1"/>
    <xf numFmtId="0" fontId="5" fillId="0" borderId="0" xfId="0" applyFont="1" applyFill="1"/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43" fontId="5" fillId="0" borderId="0" xfId="1" applyFont="1"/>
    <xf numFmtId="166" fontId="5" fillId="0" borderId="0" xfId="1" applyNumberFormat="1" applyFont="1"/>
    <xf numFmtId="0" fontId="2" fillId="0" borderId="0" xfId="0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5" fontId="2" fillId="0" borderId="0" xfId="3" applyFont="1" applyFill="1" applyAlignment="1"/>
    <xf numFmtId="0" fontId="5" fillId="0" borderId="0" xfId="3" applyNumberFormat="1" applyFont="1" applyBorder="1" applyProtection="1">
      <protection locked="0"/>
    </xf>
    <xf numFmtId="164" fontId="5" fillId="0" borderId="4" xfId="3" applyNumberFormat="1" applyFont="1" applyBorder="1" applyAlignment="1" applyProtection="1">
      <protection locked="0"/>
    </xf>
    <xf numFmtId="0" fontId="5" fillId="0" borderId="5" xfId="0" applyNumberFormat="1" applyFont="1" applyBorder="1"/>
    <xf numFmtId="164" fontId="5" fillId="0" borderId="6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70" fontId="5" fillId="0" borderId="0" xfId="3" applyNumberFormat="1" applyFont="1" applyAlignment="1"/>
    <xf numFmtId="164" fontId="5" fillId="0" borderId="0" xfId="1" applyNumberFormat="1" applyFont="1" applyAlignment="1"/>
    <xf numFmtId="164" fontId="5" fillId="0" borderId="0" xfId="3" applyNumberFormat="1" applyFont="1" applyFill="1" applyAlignment="1"/>
    <xf numFmtId="164" fontId="5" fillId="0" borderId="0" xfId="3" applyNumberFormat="1" applyFont="1" applyBorder="1" applyProtection="1">
      <protection locked="0"/>
    </xf>
    <xf numFmtId="164" fontId="9" fillId="3" borderId="0" xfId="1" applyNumberFormat="1" applyFont="1" applyFill="1" applyAlignment="1"/>
    <xf numFmtId="164" fontId="5" fillId="0" borderId="0" xfId="3" applyNumberFormat="1" applyFont="1" applyFill="1" applyBorder="1" applyAlignment="1" applyProtection="1">
      <protection locked="0"/>
    </xf>
    <xf numFmtId="164" fontId="5" fillId="0" borderId="4" xfId="3" applyNumberFormat="1" applyFont="1" applyFill="1" applyBorder="1" applyAlignment="1" applyProtection="1">
      <protection locked="0"/>
    </xf>
    <xf numFmtId="164" fontId="5" fillId="0" borderId="0" xfId="1" applyNumberFormat="1" applyFont="1" applyAlignment="1" applyProtection="1">
      <protection locked="0"/>
    </xf>
    <xf numFmtId="164" fontId="5" fillId="0" borderId="0" xfId="1" applyNumberFormat="1" applyFont="1" applyFill="1" applyAlignment="1" applyProtection="1">
      <protection locked="0"/>
    </xf>
    <xf numFmtId="164" fontId="5" fillId="0" borderId="0" xfId="1" applyNumberFormat="1" applyFont="1" applyFill="1" applyAlignment="1"/>
    <xf numFmtId="0" fontId="5" fillId="0" borderId="0" xfId="1" applyNumberFormat="1" applyFont="1" applyAlignment="1"/>
    <xf numFmtId="164" fontId="5" fillId="0" borderId="1" xfId="3" applyNumberFormat="1" applyFont="1" applyFill="1" applyBorder="1" applyAlignment="1" applyProtection="1">
      <protection locked="0"/>
    </xf>
    <xf numFmtId="164" fontId="5" fillId="0" borderId="1" xfId="3" applyNumberFormat="1" applyFont="1" applyBorder="1" applyAlignment="1" applyProtection="1">
      <protection locked="0"/>
    </xf>
    <xf numFmtId="9" fontId="5" fillId="0" borderId="0" xfId="4" applyFont="1" applyAlignment="1"/>
    <xf numFmtId="165" fontId="7" fillId="0" borderId="0" xfId="3" applyFont="1" applyAlignment="1"/>
    <xf numFmtId="0" fontId="5" fillId="0" borderId="0" xfId="3" applyNumberFormat="1" applyFont="1" applyAlignment="1" applyProtection="1">
      <alignment vertical="center"/>
      <protection locked="0"/>
    </xf>
    <xf numFmtId="0" fontId="7" fillId="0" borderId="0" xfId="3" applyNumberFormat="1" applyFont="1" applyAlignment="1" applyProtection="1">
      <alignment horizontal="center" vertical="center" wrapText="1"/>
      <protection locked="0"/>
    </xf>
    <xf numFmtId="0" fontId="7" fillId="0" borderId="0" xfId="3" applyNumberFormat="1" applyFont="1" applyAlignment="1" applyProtection="1">
      <alignment horizontal="center" vertical="center"/>
      <protection locked="0"/>
    </xf>
    <xf numFmtId="165" fontId="7" fillId="0" borderId="0" xfId="3" applyFont="1" applyAlignment="1">
      <alignment horizontal="center" vertical="center" wrapText="1"/>
    </xf>
    <xf numFmtId="165" fontId="5" fillId="0" borderId="0" xfId="3" applyFont="1" applyAlignment="1">
      <alignment vertical="center"/>
    </xf>
    <xf numFmtId="165" fontId="5" fillId="0" borderId="0" xfId="3" quotePrefix="1" applyFont="1" applyAlignment="1"/>
    <xf numFmtId="0" fontId="10" fillId="0" borderId="0" xfId="0" applyNumberFormat="1" applyFont="1" applyFill="1" applyAlignment="1">
      <alignment horizontal="center"/>
    </xf>
    <xf numFmtId="164" fontId="20" fillId="4" borderId="0" xfId="3" applyNumberFormat="1" applyFont="1" applyFill="1" applyAlignment="1" applyProtection="1">
      <protection locked="0"/>
    </xf>
    <xf numFmtId="0" fontId="5" fillId="0" borderId="0" xfId="0" applyNumberFormat="1" applyFont="1" applyAlignment="1"/>
    <xf numFmtId="0" fontId="11" fillId="0" borderId="0" xfId="0" applyFont="1"/>
    <xf numFmtId="165" fontId="11" fillId="0" borderId="0" xfId="3" applyFont="1" applyAlignment="1"/>
    <xf numFmtId="0" fontId="11" fillId="0" borderId="0" xfId="3" applyNumberFormat="1" applyFont="1" applyFill="1"/>
    <xf numFmtId="0" fontId="12" fillId="0" borderId="0" xfId="0" applyFont="1"/>
    <xf numFmtId="169" fontId="11" fillId="0" borderId="0" xfId="0" applyNumberFormat="1" applyFont="1"/>
    <xf numFmtId="0" fontId="13" fillId="0" borderId="0" xfId="0" applyNumberFormat="1" applyFont="1" applyAlignment="1">
      <alignment horizontal="center"/>
    </xf>
    <xf numFmtId="165" fontId="13" fillId="0" borderId="0" xfId="3" applyFont="1" applyAlignment="1"/>
    <xf numFmtId="0" fontId="15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Protection="1">
      <protection locked="0"/>
    </xf>
    <xf numFmtId="49" fontId="13" fillId="0" borderId="0" xfId="3" applyNumberFormat="1" applyFont="1" applyProtection="1">
      <protection locked="0"/>
    </xf>
    <xf numFmtId="49" fontId="13" fillId="0" borderId="0" xfId="3" applyNumberFormat="1" applyFont="1" applyAlignment="1" applyProtection="1">
      <alignment horizontal="center"/>
      <protection locked="0"/>
    </xf>
    <xf numFmtId="165" fontId="16" fillId="0" borderId="0" xfId="3" applyFont="1" applyAlignment="1">
      <alignment horizontal="center" vertical="center" wrapText="1"/>
    </xf>
    <xf numFmtId="0" fontId="13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 wrapText="1"/>
      <protection locked="0"/>
    </xf>
    <xf numFmtId="0" fontId="16" fillId="0" borderId="0" xfId="3" applyNumberFormat="1" applyFont="1" applyAlignment="1" applyProtection="1">
      <alignment horizontal="center" vertical="center"/>
      <protection locked="0"/>
    </xf>
    <xf numFmtId="165" fontId="13" fillId="0" borderId="0" xfId="3" applyFont="1" applyAlignment="1">
      <alignment vertical="center"/>
    </xf>
    <xf numFmtId="165" fontId="16" fillId="0" borderId="0" xfId="3" applyFont="1" applyAlignment="1">
      <alignment horizontal="center"/>
    </xf>
    <xf numFmtId="0" fontId="16" fillId="0" borderId="0" xfId="3" applyNumberFormat="1" applyFont="1" applyAlignment="1" applyProtection="1">
      <alignment horizontal="center"/>
      <protection locked="0"/>
    </xf>
    <xf numFmtId="0" fontId="15" fillId="0" borderId="1" xfId="3" applyNumberFormat="1" applyFont="1" applyBorder="1" applyAlignment="1" applyProtection="1">
      <alignment horizontal="center"/>
      <protection locked="0"/>
    </xf>
    <xf numFmtId="0" fontId="13" fillId="0" borderId="0" xfId="3" applyNumberFormat="1" applyFont="1" applyBorder="1" applyAlignment="1" applyProtection="1">
      <alignment horizontal="center"/>
      <protection locked="0"/>
    </xf>
    <xf numFmtId="0" fontId="15" fillId="0" borderId="0" xfId="3" applyNumberFormat="1" applyFont="1" applyBorder="1" applyAlignment="1" applyProtection="1">
      <alignment horizontal="center"/>
      <protection locked="0"/>
    </xf>
    <xf numFmtId="0" fontId="17" fillId="0" borderId="0" xfId="3" applyNumberFormat="1" applyFont="1" applyBorder="1" applyAlignment="1" applyProtection="1">
      <alignment horizontal="left"/>
      <protection locked="0"/>
    </xf>
    <xf numFmtId="0" fontId="13" fillId="0" borderId="0" xfId="0" applyNumberFormat="1" applyFont="1"/>
    <xf numFmtId="164" fontId="13" fillId="0" borderId="0" xfId="1" applyNumberFormat="1" applyFont="1" applyAlignment="1"/>
    <xf numFmtId="164" fontId="13" fillId="0" borderId="0" xfId="3" applyNumberFormat="1" applyFont="1" applyProtection="1">
      <protection locked="0"/>
    </xf>
    <xf numFmtId="164" fontId="21" fillId="3" borderId="0" xfId="3" applyNumberFormat="1" applyFont="1" applyFill="1" applyAlignment="1"/>
    <xf numFmtId="164" fontId="21" fillId="0" borderId="0" xfId="3" applyNumberFormat="1" applyFont="1" applyProtection="1">
      <protection locked="0"/>
    </xf>
    <xf numFmtId="164" fontId="21" fillId="0" borderId="0" xfId="3" applyNumberFormat="1" applyFont="1" applyAlignment="1"/>
    <xf numFmtId="164" fontId="21" fillId="0" borderId="0" xfId="3" applyNumberFormat="1" applyFont="1" applyFill="1" applyAlignment="1"/>
    <xf numFmtId="164" fontId="13" fillId="0" borderId="4" xfId="3" applyNumberFormat="1" applyFont="1" applyBorder="1" applyAlignment="1"/>
    <xf numFmtId="164" fontId="13" fillId="0" borderId="4" xfId="3" applyNumberFormat="1" applyFont="1" applyFill="1" applyBorder="1" applyAlignment="1"/>
    <xf numFmtId="164" fontId="13" fillId="0" borderId="0" xfId="3" applyNumberFormat="1" applyFont="1" applyAlignment="1"/>
    <xf numFmtId="1" fontId="13" fillId="0" borderId="0" xfId="3" applyNumberFormat="1" applyFont="1" applyAlignment="1" applyProtection="1">
      <alignment horizontal="center"/>
      <protection locked="0"/>
    </xf>
    <xf numFmtId="165" fontId="13" fillId="0" borderId="0" xfId="3" applyFont="1" applyAlignment="1" applyProtection="1">
      <protection locked="0"/>
    </xf>
    <xf numFmtId="164" fontId="13" fillId="0" borderId="0" xfId="3" applyNumberFormat="1" applyFont="1" applyAlignment="1" applyProtection="1">
      <protection locked="0"/>
    </xf>
    <xf numFmtId="164" fontId="13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Alignment="1"/>
    <xf numFmtId="164" fontId="21" fillId="3" borderId="0" xfId="1" applyNumberFormat="1" applyFont="1" applyFill="1" applyAlignment="1" applyProtection="1">
      <protection locked="0"/>
    </xf>
    <xf numFmtId="164" fontId="21" fillId="0" borderId="0" xfId="1" applyNumberFormat="1" applyFont="1" applyAlignment="1" applyProtection="1">
      <protection locked="0"/>
    </xf>
    <xf numFmtId="0" fontId="15" fillId="0" borderId="0" xfId="3" applyNumberFormat="1" applyFont="1" applyFill="1" applyAlignment="1" applyProtection="1">
      <alignment horizontal="center"/>
      <protection locked="0"/>
    </xf>
    <xf numFmtId="0" fontId="13" fillId="0" borderId="0" xfId="3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/>
    <xf numFmtId="0" fontId="13" fillId="0" borderId="0" xfId="3" applyNumberFormat="1" applyFont="1" applyFill="1" applyProtection="1">
      <protection locked="0"/>
    </xf>
    <xf numFmtId="1" fontId="13" fillId="0" borderId="0" xfId="3" applyNumberFormat="1" applyFont="1" applyFill="1" applyAlignment="1" applyProtection="1">
      <alignment horizontal="center"/>
      <protection locked="0"/>
    </xf>
    <xf numFmtId="165" fontId="13" fillId="0" borderId="0" xfId="3" applyFont="1" applyFill="1" applyAlignment="1" applyProtection="1">
      <protection locked="0"/>
    </xf>
    <xf numFmtId="164" fontId="13" fillId="0" borderId="4" xfId="1" applyNumberFormat="1" applyFont="1" applyFill="1" applyBorder="1" applyAlignment="1" applyProtection="1">
      <protection locked="0"/>
    </xf>
    <xf numFmtId="164" fontId="13" fillId="0" borderId="0" xfId="1" applyNumberFormat="1" applyFont="1" applyAlignment="1" applyProtection="1">
      <protection locked="0"/>
    </xf>
    <xf numFmtId="164" fontId="13" fillId="0" borderId="4" xfId="1" applyNumberFormat="1" applyFont="1" applyBorder="1" applyAlignment="1" applyProtection="1">
      <protection locked="0"/>
    </xf>
    <xf numFmtId="0" fontId="13" fillId="0" borderId="0" xfId="0" applyNumberFormat="1" applyFont="1" applyAlignment="1">
      <alignment horizontal="right"/>
    </xf>
    <xf numFmtId="164" fontId="13" fillId="0" borderId="0" xfId="1" applyNumberFormat="1" applyFont="1" applyFill="1" applyAlignment="1" applyProtection="1">
      <protection locked="0"/>
    </xf>
    <xf numFmtId="164" fontId="13" fillId="0" borderId="4" xfId="1" applyNumberFormat="1" applyFont="1" applyBorder="1" applyAlignment="1"/>
    <xf numFmtId="164" fontId="13" fillId="3" borderId="0" xfId="1" applyNumberFormat="1" applyFont="1" applyFill="1" applyBorder="1" applyAlignment="1" applyProtection="1">
      <protection locked="0"/>
    </xf>
    <xf numFmtId="164" fontId="13" fillId="3" borderId="0" xfId="1" applyNumberFormat="1" applyFont="1" applyFill="1" applyAlignment="1" applyProtection="1">
      <protection locked="0"/>
    </xf>
    <xf numFmtId="165" fontId="15" fillId="0" borderId="0" xfId="3" applyFont="1" applyAlignment="1"/>
    <xf numFmtId="164" fontId="13" fillId="0" borderId="0" xfId="1" applyNumberFormat="1" applyFont="1" applyFill="1" applyAlignment="1"/>
    <xf numFmtId="164" fontId="13" fillId="0" borderId="0" xfId="1" applyNumberFormat="1" applyFont="1" applyBorder="1" applyAlignment="1" applyProtection="1">
      <protection locked="0"/>
    </xf>
    <xf numFmtId="0" fontId="16" fillId="0" borderId="5" xfId="0" applyNumberFormat="1" applyFont="1" applyBorder="1"/>
    <xf numFmtId="0" fontId="13" fillId="0" borderId="2" xfId="3" applyNumberFormat="1" applyFont="1" applyBorder="1" applyProtection="1">
      <protection locked="0"/>
    </xf>
    <xf numFmtId="165" fontId="13" fillId="0" borderId="2" xfId="3" applyFont="1" applyBorder="1" applyAlignment="1"/>
    <xf numFmtId="1" fontId="13" fillId="0" borderId="2" xfId="3" applyNumberFormat="1" applyFont="1" applyBorder="1" applyAlignment="1" applyProtection="1">
      <alignment horizontal="center"/>
      <protection locked="0"/>
    </xf>
    <xf numFmtId="165" fontId="13" fillId="0" borderId="2" xfId="3" applyFont="1" applyBorder="1" applyAlignment="1" applyProtection="1">
      <protection locked="0"/>
    </xf>
    <xf numFmtId="164" fontId="16" fillId="0" borderId="6" xfId="3" applyNumberFormat="1" applyFont="1" applyBorder="1" applyAlignment="1" applyProtection="1">
      <protection locked="0"/>
    </xf>
    <xf numFmtId="164" fontId="13" fillId="0" borderId="0" xfId="3" applyNumberFormat="1" applyFont="1" applyBorder="1" applyAlignment="1" applyProtection="1">
      <protection locked="0"/>
    </xf>
    <xf numFmtId="10" fontId="13" fillId="0" borderId="0" xfId="4" applyNumberFormat="1" applyFont="1" applyBorder="1" applyAlignment="1" applyProtection="1">
      <protection locked="0"/>
    </xf>
    <xf numFmtId="165" fontId="13" fillId="0" borderId="0" xfId="3" applyFont="1" applyAlignment="1" applyProtection="1">
      <alignment horizontal="center"/>
      <protection locked="0"/>
    </xf>
    <xf numFmtId="165" fontId="13" fillId="0" borderId="0" xfId="3" applyFont="1" applyFill="1" applyAlignment="1"/>
    <xf numFmtId="0" fontId="13" fillId="0" borderId="0" xfId="0" applyFont="1" applyFill="1"/>
    <xf numFmtId="0" fontId="13" fillId="0" borderId="0" xfId="0" applyFont="1"/>
    <xf numFmtId="0" fontId="13" fillId="0" borderId="0" xfId="3" applyNumberFormat="1" applyFont="1" applyFill="1"/>
    <xf numFmtId="0" fontId="13" fillId="0" borderId="0" xfId="0" applyFont="1" applyAlignment="1">
      <alignment horizontal="left"/>
    </xf>
    <xf numFmtId="165" fontId="13" fillId="0" borderId="0" xfId="3" applyNumberFormat="1" applyFont="1" applyAlignment="1"/>
    <xf numFmtId="43" fontId="13" fillId="0" borderId="0" xfId="0" applyNumberFormat="1" applyFont="1"/>
    <xf numFmtId="43" fontId="13" fillId="0" borderId="0" xfId="1" applyFont="1"/>
    <xf numFmtId="165" fontId="13" fillId="0" borderId="0" xfId="3" applyFont="1" applyAlignment="1">
      <alignment horizontal="center"/>
    </xf>
    <xf numFmtId="0" fontId="15" fillId="0" borderId="0" xfId="0" applyFont="1" applyAlignment="1">
      <alignment horizontal="center"/>
    </xf>
    <xf numFmtId="166" fontId="13" fillId="0" borderId="0" xfId="3" applyNumberFormat="1" applyFont="1" applyFill="1"/>
    <xf numFmtId="166" fontId="13" fillId="0" borderId="0" xfId="0" applyNumberFormat="1" applyFont="1"/>
    <xf numFmtId="166" fontId="13" fillId="0" borderId="0" xfId="1" applyNumberFormat="1" applyFont="1"/>
    <xf numFmtId="166" fontId="13" fillId="0" borderId="0" xfId="1" applyNumberFormat="1" applyFont="1" applyAlignment="1" applyProtection="1">
      <protection locked="0"/>
    </xf>
    <xf numFmtId="165" fontId="19" fillId="0" borderId="5" xfId="3" applyFont="1" applyBorder="1" applyAlignment="1"/>
    <xf numFmtId="0" fontId="13" fillId="0" borderId="2" xfId="0" applyFont="1" applyBorder="1"/>
    <xf numFmtId="167" fontId="16" fillId="0" borderId="6" xfId="2" applyNumberFormat="1" applyFont="1" applyBorder="1"/>
    <xf numFmtId="166" fontId="13" fillId="0" borderId="7" xfId="0" applyNumberFormat="1" applyFont="1" applyBorder="1"/>
    <xf numFmtId="0" fontId="15" fillId="0" borderId="0" xfId="0" applyFont="1"/>
    <xf numFmtId="165" fontId="15" fillId="0" borderId="0" xfId="3" applyFont="1" applyAlignment="1" applyProtection="1">
      <protection locked="0"/>
    </xf>
    <xf numFmtId="168" fontId="18" fillId="4" borderId="0" xfId="1" applyNumberFormat="1" applyFont="1" applyFill="1" applyAlignment="1" applyProtection="1">
      <protection locked="0"/>
    </xf>
    <xf numFmtId="166" fontId="9" fillId="5" borderId="0" xfId="1" applyNumberFormat="1" applyFont="1" applyFill="1" applyAlignment="1"/>
    <xf numFmtId="0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49" fontId="14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 xr:uid="{00000000-0005-0000-0000-000003000000}"/>
    <cellStyle name="Percent" xfId="4" builtinId="5"/>
    <cellStyle name="PSChar" xfId="5" xr:uid="{00000000-0005-0000-0000-000005000000}"/>
    <cellStyle name="PSDate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  <cellStyle name="PSSpacer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2"/>
    <pageSetUpPr fitToPage="1"/>
  </sheetPr>
  <dimension ref="A1:X977"/>
  <sheetViews>
    <sheetView tabSelected="1" zoomScale="70" zoomScaleNormal="70" workbookViewId="0">
      <selection activeCell="A4" sqref="A4:S4"/>
    </sheetView>
  </sheetViews>
  <sheetFormatPr defaultColWidth="11.42578125" defaultRowHeight="15"/>
  <cols>
    <col min="1" max="1" width="4.140625" style="1" customWidth="1"/>
    <col min="2" max="2" width="5.85546875" style="20" bestFit="1" customWidth="1"/>
    <col min="3" max="3" width="2" style="1" customWidth="1"/>
    <col min="4" max="4" width="58.28515625" style="1" customWidth="1"/>
    <col min="5" max="5" width="24.28515625" style="1" customWidth="1"/>
    <col min="6" max="6" width="8.7109375" style="1" customWidth="1"/>
    <col min="7" max="7" width="24.28515625" style="1" customWidth="1"/>
    <col min="8" max="8" width="5" style="1" customWidth="1"/>
    <col min="9" max="9" width="32" style="1" customWidth="1"/>
    <col min="10" max="10" width="4.42578125" style="1" customWidth="1"/>
    <col min="11" max="11" width="32.28515625" style="1" customWidth="1"/>
    <col min="12" max="12" width="4.5703125" style="1" customWidth="1"/>
    <col min="13" max="13" width="32.7109375" style="1" customWidth="1"/>
    <col min="14" max="14" width="5.140625" style="1" customWidth="1"/>
    <col min="15" max="15" width="35.7109375" style="1" customWidth="1"/>
    <col min="16" max="16" width="4.28515625" style="1" customWidth="1"/>
    <col min="17" max="17" width="29.5703125" style="1" customWidth="1"/>
    <col min="18" max="18" width="2.7109375" style="1" customWidth="1"/>
    <col min="19" max="19" width="32.28515625" style="1" customWidth="1"/>
    <col min="20" max="20" width="18" style="1" bestFit="1" customWidth="1"/>
    <col min="21" max="16384" width="11.42578125" style="1"/>
  </cols>
  <sheetData>
    <row r="1" spans="1:24" ht="20.25">
      <c r="A1" s="137"/>
      <c r="B1" s="137"/>
      <c r="C1" s="137"/>
      <c r="D1" s="137"/>
      <c r="E1" s="137"/>
      <c r="F1" s="137"/>
      <c r="G1" s="137"/>
      <c r="H1" s="137"/>
      <c r="I1" s="75"/>
      <c r="J1" s="137"/>
      <c r="K1" s="137"/>
      <c r="L1" s="137"/>
      <c r="M1" s="75"/>
      <c r="N1" s="75"/>
      <c r="O1" s="75"/>
      <c r="P1" s="75"/>
      <c r="Q1" s="75"/>
      <c r="R1" s="75"/>
      <c r="S1" s="75"/>
      <c r="V1" s="65"/>
      <c r="X1" s="44" t="s">
        <v>9</v>
      </c>
    </row>
    <row r="2" spans="1:24" ht="20.25">
      <c r="A2" s="75"/>
      <c r="B2" s="154"/>
      <c r="C2" s="103"/>
      <c r="D2" s="103"/>
      <c r="E2" s="103"/>
      <c r="F2" s="103"/>
      <c r="G2" s="103"/>
      <c r="H2" s="103"/>
      <c r="I2" s="75"/>
      <c r="J2" s="103"/>
      <c r="K2" s="103"/>
      <c r="L2" s="103"/>
      <c r="M2" s="75"/>
      <c r="N2" s="75"/>
      <c r="O2" s="75"/>
      <c r="P2" s="75"/>
      <c r="Q2" s="75"/>
      <c r="R2" s="75"/>
      <c r="S2" s="75"/>
    </row>
    <row r="3" spans="1:24" ht="20.25">
      <c r="A3" s="159" t="s">
        <v>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24" ht="20.25">
      <c r="A4" s="160" t="str">
        <f>"Forecasted Costs through December 31, 2024"</f>
        <v>Forecasted Costs through December 31, 2024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24" ht="20.25">
      <c r="A5" s="161" t="str">
        <f>"For rates effective January 1, 2024"</f>
        <v>For rates effective January 1, 2024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68"/>
      <c r="U5" s="68"/>
    </row>
    <row r="6" spans="1:24" ht="2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4" ht="2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4" ht="20.25">
      <c r="A8" s="162" t="s">
        <v>36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75"/>
      <c r="T8" s="75"/>
    </row>
    <row r="9" spans="1:24" ht="20.25">
      <c r="A9" s="75"/>
      <c r="B9" s="76"/>
      <c r="C9" s="77"/>
      <c r="D9" s="78"/>
      <c r="E9" s="78"/>
      <c r="F9" s="75"/>
      <c r="G9" s="79"/>
      <c r="H9" s="78"/>
      <c r="I9" s="75"/>
      <c r="J9" s="78"/>
      <c r="K9" s="78"/>
      <c r="L9" s="78"/>
      <c r="M9" s="75"/>
      <c r="N9" s="75"/>
      <c r="O9" s="75"/>
      <c r="P9" s="75"/>
      <c r="Q9" s="75"/>
      <c r="R9" s="75"/>
      <c r="S9" s="75"/>
      <c r="T9" s="75"/>
    </row>
    <row r="10" spans="1:24" ht="60.75">
      <c r="A10" s="75"/>
      <c r="B10" s="76"/>
      <c r="C10" s="77"/>
      <c r="D10" s="78"/>
      <c r="E10" s="78"/>
      <c r="F10" s="80"/>
      <c r="G10" s="79"/>
      <c r="H10" s="78"/>
      <c r="I10" s="81" t="s">
        <v>39</v>
      </c>
      <c r="J10" s="82"/>
      <c r="K10" s="83" t="s">
        <v>30</v>
      </c>
      <c r="L10" s="84"/>
      <c r="M10" s="81" t="s">
        <v>33</v>
      </c>
      <c r="N10" s="85"/>
      <c r="O10" s="81" t="s">
        <v>32</v>
      </c>
      <c r="P10" s="85"/>
      <c r="Q10" s="81" t="s">
        <v>28</v>
      </c>
      <c r="R10" s="85"/>
      <c r="S10" s="81" t="s">
        <v>31</v>
      </c>
      <c r="T10" s="75"/>
    </row>
    <row r="11" spans="1:24" ht="20.25">
      <c r="A11" s="75"/>
      <c r="B11" s="76" t="s">
        <v>0</v>
      </c>
      <c r="C11" s="77"/>
      <c r="D11" s="78"/>
      <c r="E11" s="78"/>
      <c r="F11" s="78"/>
      <c r="G11" s="79"/>
      <c r="H11" s="78"/>
      <c r="I11" s="86" t="s">
        <v>29</v>
      </c>
      <c r="J11" s="78"/>
      <c r="K11" s="87" t="s">
        <v>29</v>
      </c>
      <c r="L11" s="87"/>
      <c r="M11" s="87" t="s">
        <v>29</v>
      </c>
      <c r="N11" s="75"/>
      <c r="O11" s="87" t="s">
        <v>29</v>
      </c>
      <c r="P11" s="75"/>
      <c r="Q11" s="87" t="s">
        <v>29</v>
      </c>
      <c r="R11" s="75"/>
      <c r="S11" s="87" t="s">
        <v>29</v>
      </c>
      <c r="T11" s="75"/>
    </row>
    <row r="12" spans="1:24" ht="21" thickBot="1">
      <c r="A12" s="75"/>
      <c r="B12" s="88" t="s">
        <v>1</v>
      </c>
      <c r="C12" s="89"/>
      <c r="D12" s="78"/>
      <c r="E12" s="89"/>
      <c r="F12" s="78"/>
      <c r="G12" s="78"/>
      <c r="H12" s="78"/>
      <c r="I12" s="86" t="s">
        <v>2</v>
      </c>
      <c r="J12" s="78"/>
      <c r="K12" s="86" t="s">
        <v>2</v>
      </c>
      <c r="L12" s="87"/>
      <c r="M12" s="86" t="s">
        <v>2</v>
      </c>
      <c r="N12" s="75"/>
      <c r="O12" s="86" t="s">
        <v>2</v>
      </c>
      <c r="P12" s="75"/>
      <c r="Q12" s="86" t="s">
        <v>2</v>
      </c>
      <c r="R12" s="75"/>
      <c r="S12" s="86" t="s">
        <v>2</v>
      </c>
      <c r="T12" s="75"/>
    </row>
    <row r="13" spans="1:24" ht="20.25">
      <c r="A13" s="75"/>
      <c r="B13" s="90"/>
      <c r="C13" s="89"/>
      <c r="D13" s="78"/>
      <c r="E13" s="89"/>
      <c r="F13" s="78"/>
      <c r="G13" s="78"/>
      <c r="H13" s="78"/>
      <c r="I13" s="75"/>
      <c r="J13" s="78"/>
      <c r="K13" s="75"/>
      <c r="L13" s="78"/>
      <c r="M13" s="75"/>
      <c r="N13" s="75"/>
      <c r="O13" s="75"/>
      <c r="P13" s="75"/>
      <c r="Q13" s="75"/>
      <c r="R13" s="75"/>
      <c r="S13" s="75"/>
      <c r="T13" s="75"/>
    </row>
    <row r="14" spans="1:24" ht="20.25">
      <c r="A14" s="86" t="s">
        <v>3</v>
      </c>
      <c r="B14" s="91" t="s">
        <v>4</v>
      </c>
      <c r="C14" s="89"/>
      <c r="D14" s="78"/>
      <c r="E14" s="89"/>
      <c r="F14" s="78"/>
      <c r="G14" s="78"/>
      <c r="H14" s="78"/>
      <c r="I14" s="75"/>
      <c r="J14" s="78"/>
      <c r="K14" s="75"/>
      <c r="L14" s="78"/>
      <c r="M14" s="75"/>
      <c r="N14" s="75"/>
      <c r="O14" s="75"/>
      <c r="P14" s="75"/>
      <c r="Q14" s="75"/>
      <c r="R14" s="75"/>
      <c r="S14" s="75"/>
      <c r="T14" s="75"/>
    </row>
    <row r="15" spans="1:24" ht="20.25">
      <c r="A15" s="86"/>
      <c r="B15" s="90">
        <v>1</v>
      </c>
      <c r="C15" s="89"/>
      <c r="D15" s="92" t="s">
        <v>5</v>
      </c>
      <c r="E15" s="89"/>
      <c r="F15" s="78"/>
      <c r="G15" s="77" t="s">
        <v>25</v>
      </c>
      <c r="H15" s="78"/>
      <c r="I15" s="93">
        <f>SUM(Q15,K15,S15,O15,M15,)</f>
        <v>1731163299.5561979</v>
      </c>
      <c r="J15" s="94"/>
      <c r="K15" s="95">
        <v>18126008.318611413</v>
      </c>
      <c r="L15" s="96"/>
      <c r="M15" s="95">
        <v>482317579.30608892</v>
      </c>
      <c r="N15" s="97"/>
      <c r="O15" s="95">
        <v>21318708.789525859</v>
      </c>
      <c r="P15" s="97"/>
      <c r="Q15" s="95">
        <v>885888080.91866601</v>
      </c>
      <c r="R15" s="97"/>
      <c r="S15" s="95">
        <v>323512922.2233057</v>
      </c>
      <c r="T15" s="75"/>
    </row>
    <row r="16" spans="1:24" ht="20.25">
      <c r="A16" s="86"/>
      <c r="B16" s="90"/>
      <c r="C16" s="89"/>
      <c r="D16" s="92"/>
      <c r="E16" s="89"/>
      <c r="F16" s="78"/>
      <c r="G16" s="78"/>
      <c r="H16" s="78"/>
      <c r="I16" s="93"/>
      <c r="J16" s="94"/>
      <c r="K16" s="98"/>
      <c r="L16" s="96"/>
      <c r="M16" s="97"/>
      <c r="N16" s="97"/>
      <c r="O16" s="97"/>
      <c r="P16" s="97"/>
      <c r="Q16" s="97"/>
      <c r="R16" s="97"/>
      <c r="S16" s="98"/>
      <c r="T16" s="75"/>
      <c r="U16" s="58"/>
    </row>
    <row r="17" spans="1:20" ht="20.25">
      <c r="A17" s="86"/>
      <c r="B17" s="90">
        <f>+B15+1</f>
        <v>2</v>
      </c>
      <c r="C17" s="89"/>
      <c r="D17" s="78" t="s">
        <v>6</v>
      </c>
      <c r="E17" s="89"/>
      <c r="F17" s="78"/>
      <c r="G17" s="77" t="s">
        <v>26</v>
      </c>
      <c r="H17" s="78"/>
      <c r="I17" s="93">
        <f>SUM(Q17,K17,S17,O17,M17,)</f>
        <v>10894283.00891999</v>
      </c>
      <c r="J17" s="94"/>
      <c r="K17" s="95">
        <v>0</v>
      </c>
      <c r="L17" s="96"/>
      <c r="M17" s="95">
        <v>1572306.02219999</v>
      </c>
      <c r="N17" s="97"/>
      <c r="O17" s="95">
        <v>0</v>
      </c>
      <c r="P17" s="97"/>
      <c r="Q17" s="95">
        <v>9321976.9867199995</v>
      </c>
      <c r="R17" s="97"/>
      <c r="S17" s="95">
        <v>0</v>
      </c>
      <c r="T17" s="75"/>
    </row>
    <row r="18" spans="1:20" ht="20.25">
      <c r="A18" s="86"/>
      <c r="B18" s="91"/>
      <c r="C18" s="89"/>
      <c r="D18" s="78"/>
      <c r="E18" s="89"/>
      <c r="F18" s="78"/>
      <c r="G18" s="78"/>
      <c r="H18" s="78"/>
      <c r="I18" s="99"/>
      <c r="J18" s="94"/>
      <c r="K18" s="100"/>
      <c r="L18" s="94"/>
      <c r="M18" s="99"/>
      <c r="N18" s="101"/>
      <c r="O18" s="99"/>
      <c r="P18" s="101"/>
      <c r="Q18" s="99"/>
      <c r="R18" s="101"/>
      <c r="S18" s="100"/>
      <c r="T18" s="75"/>
    </row>
    <row r="19" spans="1:20" ht="48.75" customHeight="1">
      <c r="A19" s="75"/>
      <c r="B19" s="76">
        <f>+B17+1</f>
        <v>3</v>
      </c>
      <c r="C19" s="77"/>
      <c r="D19" s="157" t="s">
        <v>45</v>
      </c>
      <c r="E19" s="158"/>
      <c r="F19" s="102"/>
      <c r="G19" s="77" t="s">
        <v>27</v>
      </c>
      <c r="H19" s="103"/>
      <c r="I19" s="101">
        <f>SUM(Q19,K19,S19,O19,M19,)</f>
        <v>1720269016.5472779</v>
      </c>
      <c r="J19" s="104"/>
      <c r="K19" s="105">
        <f>+K15-K17</f>
        <v>18126008.318611413</v>
      </c>
      <c r="L19" s="104"/>
      <c r="M19" s="104">
        <f>+M15-M17</f>
        <v>480745273.28388894</v>
      </c>
      <c r="N19" s="101"/>
      <c r="O19" s="104">
        <f>+O15-O17</f>
        <v>21318708.789525859</v>
      </c>
      <c r="P19" s="101"/>
      <c r="Q19" s="104">
        <f>+Q15-Q17</f>
        <v>876566103.93194604</v>
      </c>
      <c r="R19" s="101"/>
      <c r="S19" s="105">
        <f>+S15-S17</f>
        <v>323512922.2233057</v>
      </c>
      <c r="T19" s="75"/>
    </row>
    <row r="20" spans="1:20" ht="20.25">
      <c r="A20" s="75"/>
      <c r="B20" s="76"/>
      <c r="C20" s="77"/>
      <c r="D20" s="92"/>
      <c r="E20" s="78"/>
      <c r="F20" s="102"/>
      <c r="G20" s="103"/>
      <c r="H20" s="103"/>
      <c r="I20" s="101"/>
      <c r="J20" s="104"/>
      <c r="K20" s="105"/>
      <c r="L20" s="104"/>
      <c r="M20" s="104"/>
      <c r="N20" s="101"/>
      <c r="O20" s="104"/>
      <c r="P20" s="101"/>
      <c r="Q20" s="104"/>
      <c r="R20" s="101"/>
      <c r="S20" s="105"/>
      <c r="T20" s="75"/>
    </row>
    <row r="21" spans="1:20" ht="20.25">
      <c r="A21" s="75"/>
      <c r="B21" s="76">
        <f>+B19+1</f>
        <v>4</v>
      </c>
      <c r="C21" s="77"/>
      <c r="D21" s="92" t="s">
        <v>7</v>
      </c>
      <c r="E21" s="78"/>
      <c r="F21" s="102"/>
      <c r="G21" s="103"/>
      <c r="H21" s="103"/>
      <c r="I21" s="101"/>
      <c r="J21" s="104"/>
      <c r="K21" s="106"/>
      <c r="L21" s="104"/>
      <c r="M21" s="101"/>
      <c r="N21" s="101"/>
      <c r="O21" s="101"/>
      <c r="P21" s="101"/>
      <c r="Q21" s="101"/>
      <c r="R21" s="101"/>
      <c r="S21" s="106"/>
      <c r="T21" s="75"/>
    </row>
    <row r="22" spans="1:20" ht="20.25">
      <c r="A22" s="75"/>
      <c r="B22" s="76">
        <f>+B21+1</f>
        <v>5</v>
      </c>
      <c r="C22" s="77"/>
      <c r="D22" s="92" t="s">
        <v>34</v>
      </c>
      <c r="E22" s="78"/>
      <c r="F22" s="102"/>
      <c r="G22" s="77" t="s">
        <v>40</v>
      </c>
      <c r="H22" s="103"/>
      <c r="I22" s="101">
        <f>SUM(Q22,K22,S22,O22,M22,)</f>
        <v>150655114.4880752</v>
      </c>
      <c r="J22" s="104"/>
      <c r="K22" s="107">
        <v>0</v>
      </c>
      <c r="L22" s="108"/>
      <c r="M22" s="107">
        <v>52749142.447029829</v>
      </c>
      <c r="N22" s="97"/>
      <c r="O22" s="95">
        <v>4876605.2974782176</v>
      </c>
      <c r="P22" s="97"/>
      <c r="Q22" s="95">
        <v>42010567.131637082</v>
      </c>
      <c r="R22" s="97"/>
      <c r="S22" s="95">
        <v>51018799.611930065</v>
      </c>
      <c r="T22" s="75"/>
    </row>
    <row r="23" spans="1:20" ht="20.25">
      <c r="A23" s="75"/>
      <c r="B23" s="109">
        <f>+B22+1</f>
        <v>6</v>
      </c>
      <c r="C23" s="110"/>
      <c r="D23" s="111" t="s">
        <v>35</v>
      </c>
      <c r="E23" s="112"/>
      <c r="F23" s="113"/>
      <c r="G23" s="110" t="str">
        <f>"(Worksheet J)"</f>
        <v>(Worksheet J)</v>
      </c>
      <c r="H23" s="114"/>
      <c r="I23" s="99">
        <f>SUM(Q23,K23,S23,O23,M23,)</f>
        <v>0</v>
      </c>
      <c r="J23" s="104"/>
      <c r="K23" s="115">
        <v>0</v>
      </c>
      <c r="L23" s="116"/>
      <c r="M23" s="117">
        <v>0</v>
      </c>
      <c r="N23" s="101"/>
      <c r="O23" s="117">
        <v>0</v>
      </c>
      <c r="P23" s="101"/>
      <c r="Q23" s="117">
        <v>0</v>
      </c>
      <c r="R23" s="101"/>
      <c r="S23" s="115">
        <v>0</v>
      </c>
      <c r="T23" s="75"/>
    </row>
    <row r="24" spans="1:20" ht="20.25">
      <c r="A24" s="75"/>
      <c r="B24" s="76">
        <f>+B23+1</f>
        <v>7</v>
      </c>
      <c r="C24" s="77"/>
      <c r="D24" s="118" t="s">
        <v>8</v>
      </c>
      <c r="E24" s="78" t="s">
        <v>9</v>
      </c>
      <c r="F24" s="102"/>
      <c r="G24" s="103"/>
      <c r="H24" s="103"/>
      <c r="I24" s="116">
        <f>+I23+I22</f>
        <v>150655114.4880752</v>
      </c>
      <c r="J24" s="104"/>
      <c r="K24" s="119">
        <f>+K23+K22</f>
        <v>0</v>
      </c>
      <c r="L24" s="116"/>
      <c r="M24" s="116">
        <f>+M23+M22</f>
        <v>52749142.447029829</v>
      </c>
      <c r="N24" s="101"/>
      <c r="O24" s="116">
        <f>+O23+O22</f>
        <v>4876605.2974782176</v>
      </c>
      <c r="P24" s="101"/>
      <c r="Q24" s="116">
        <f>+Q23+Q22</f>
        <v>42010567.131637082</v>
      </c>
      <c r="R24" s="101"/>
      <c r="S24" s="119">
        <f>+S23+S22</f>
        <v>51018799.611930065</v>
      </c>
      <c r="T24" s="75"/>
    </row>
    <row r="25" spans="1:20" ht="20.25">
      <c r="A25" s="75"/>
      <c r="B25" s="76"/>
      <c r="C25" s="77"/>
      <c r="D25" s="92"/>
      <c r="E25" s="78"/>
      <c r="F25" s="102"/>
      <c r="G25" s="103"/>
      <c r="H25" s="103"/>
      <c r="I25" s="120"/>
      <c r="J25" s="104"/>
      <c r="K25" s="115"/>
      <c r="L25" s="116"/>
      <c r="M25" s="117"/>
      <c r="N25" s="101"/>
      <c r="O25" s="117"/>
      <c r="P25" s="101"/>
      <c r="Q25" s="117"/>
      <c r="R25" s="101"/>
      <c r="S25" s="115"/>
      <c r="T25" s="75"/>
    </row>
    <row r="26" spans="1:20" ht="20.25">
      <c r="A26" s="75"/>
      <c r="B26" s="76">
        <f>+B24+1</f>
        <v>8</v>
      </c>
      <c r="C26" s="77"/>
      <c r="D26" s="92" t="s">
        <v>46</v>
      </c>
      <c r="E26" s="78"/>
      <c r="F26" s="75"/>
      <c r="G26" s="102" t="str">
        <f>"(Ln "&amp;B19&amp;"- Ln "&amp;B24&amp;")"</f>
        <v>(Ln 3- Ln 7)</v>
      </c>
      <c r="H26" s="103"/>
      <c r="I26" s="101">
        <f>SUM(Q26,K26,S26,O26,M26,)</f>
        <v>1569613902.0592027</v>
      </c>
      <c r="J26" s="104"/>
      <c r="K26" s="119">
        <f>+K19-K24</f>
        <v>18126008.318611413</v>
      </c>
      <c r="L26" s="116"/>
      <c r="M26" s="116">
        <f>+M19-M24</f>
        <v>427996130.83685911</v>
      </c>
      <c r="N26" s="101"/>
      <c r="O26" s="116">
        <f>+O19-O24</f>
        <v>16442103.492047641</v>
      </c>
      <c r="P26" s="101"/>
      <c r="Q26" s="116">
        <f>+Q19-Q24</f>
        <v>834555536.80030894</v>
      </c>
      <c r="R26" s="101"/>
      <c r="S26" s="119">
        <f>+S19-S24</f>
        <v>272494122.61137563</v>
      </c>
      <c r="T26" s="75"/>
    </row>
    <row r="27" spans="1:20" ht="20.25">
      <c r="A27" s="75"/>
      <c r="B27" s="75"/>
      <c r="C27" s="77"/>
      <c r="D27" s="75"/>
      <c r="E27" s="78"/>
      <c r="F27" s="75"/>
      <c r="G27" s="103"/>
      <c r="H27" s="103"/>
      <c r="I27" s="101"/>
      <c r="J27" s="104"/>
      <c r="K27" s="106"/>
      <c r="L27" s="101"/>
      <c r="M27" s="101"/>
      <c r="N27" s="101"/>
      <c r="O27" s="101"/>
      <c r="P27" s="101"/>
      <c r="Q27" s="101"/>
      <c r="R27" s="101"/>
      <c r="S27" s="106"/>
      <c r="T27" s="75"/>
    </row>
    <row r="28" spans="1:20" ht="20.25">
      <c r="A28" s="75"/>
      <c r="B28" s="76">
        <f>+B26+1</f>
        <v>9</v>
      </c>
      <c r="C28" s="77"/>
      <c r="D28" s="92" t="s">
        <v>47</v>
      </c>
      <c r="E28" s="78"/>
      <c r="F28" s="102"/>
      <c r="G28" s="77" t="str">
        <f>"(Worksheet J)"</f>
        <v>(Worksheet J)</v>
      </c>
      <c r="H28" s="103"/>
      <c r="I28" s="93">
        <f>SUM(Q28,K28,S28,O28,M28,)</f>
        <v>0</v>
      </c>
      <c r="J28" s="104"/>
      <c r="K28" s="121">
        <v>0</v>
      </c>
      <c r="L28" s="116"/>
      <c r="M28" s="122">
        <v>0</v>
      </c>
      <c r="N28" s="101"/>
      <c r="O28" s="122">
        <v>0</v>
      </c>
      <c r="P28" s="101"/>
      <c r="Q28" s="122">
        <v>0</v>
      </c>
      <c r="R28" s="101"/>
      <c r="S28" s="122">
        <v>0</v>
      </c>
      <c r="T28" s="75"/>
    </row>
    <row r="29" spans="1:20" ht="20.25">
      <c r="A29" s="75"/>
      <c r="B29" s="76"/>
      <c r="C29" s="77"/>
      <c r="D29" s="92"/>
      <c r="E29" s="78"/>
      <c r="F29" s="102"/>
      <c r="G29" s="103"/>
      <c r="H29" s="103"/>
      <c r="I29" s="120"/>
      <c r="J29" s="104"/>
      <c r="K29" s="115"/>
      <c r="L29" s="116"/>
      <c r="M29" s="117"/>
      <c r="N29" s="101"/>
      <c r="O29" s="117"/>
      <c r="P29" s="101"/>
      <c r="Q29" s="117"/>
      <c r="R29" s="101"/>
      <c r="S29" s="115"/>
      <c r="T29" s="75"/>
    </row>
    <row r="30" spans="1:20" ht="21" customHeight="1">
      <c r="A30" s="75"/>
      <c r="B30" s="76">
        <f>+B28+1</f>
        <v>10</v>
      </c>
      <c r="C30" s="77"/>
      <c r="D30" s="92" t="s">
        <v>48</v>
      </c>
      <c r="E30" s="78"/>
      <c r="F30" s="75"/>
      <c r="G30" s="102" t="str">
        <f>"(Ln "&amp;B26&amp;" + Ln "&amp;B28&amp;")"</f>
        <v>(Ln 8 + Ln 9)</v>
      </c>
      <c r="H30" s="103"/>
      <c r="I30" s="93">
        <f>+I26+I28</f>
        <v>1569613902.0592027</v>
      </c>
      <c r="J30" s="104"/>
      <c r="K30" s="119">
        <f>+K26+K28</f>
        <v>18126008.318611413</v>
      </c>
      <c r="L30" s="116"/>
      <c r="M30" s="116">
        <f>+M26+M28</f>
        <v>427996130.83685911</v>
      </c>
      <c r="N30" s="101"/>
      <c r="O30" s="116">
        <f>+O26+O28</f>
        <v>16442103.492047641</v>
      </c>
      <c r="P30" s="101"/>
      <c r="Q30" s="116">
        <f>+Q26+Q28</f>
        <v>834555536.80030894</v>
      </c>
      <c r="R30" s="101"/>
      <c r="S30" s="119">
        <f>+S26+S28</f>
        <v>272494122.61137563</v>
      </c>
      <c r="T30" s="75"/>
    </row>
    <row r="31" spans="1:20" ht="20.25">
      <c r="A31" s="75"/>
      <c r="B31" s="123"/>
      <c r="C31" s="75"/>
      <c r="D31" s="75"/>
      <c r="E31" s="75"/>
      <c r="F31" s="75"/>
      <c r="G31" s="75"/>
      <c r="H31" s="75"/>
      <c r="I31" s="101"/>
      <c r="J31" s="101"/>
      <c r="K31" s="106"/>
      <c r="L31" s="101"/>
      <c r="M31" s="101"/>
      <c r="N31" s="101"/>
      <c r="O31" s="101"/>
      <c r="P31" s="101"/>
      <c r="Q31" s="101"/>
      <c r="R31" s="101"/>
      <c r="S31" s="106"/>
      <c r="T31" s="75"/>
    </row>
    <row r="32" spans="1:20" ht="20.25">
      <c r="A32" s="75"/>
      <c r="B32" s="76">
        <f>+B30+1</f>
        <v>11</v>
      </c>
      <c r="C32" s="77"/>
      <c r="D32" s="92" t="s">
        <v>55</v>
      </c>
      <c r="E32" s="78"/>
      <c r="F32" s="102"/>
      <c r="G32" s="102" t="s">
        <v>42</v>
      </c>
      <c r="H32" s="103"/>
      <c r="I32" s="101">
        <f>SUM(Q32,K32,S32,O32,M32,)</f>
        <v>-990891.30463041086</v>
      </c>
      <c r="J32" s="104"/>
      <c r="K32" s="124">
        <v>264751.5278656556</v>
      </c>
      <c r="L32" s="116"/>
      <c r="M32" s="93">
        <v>-5247301.9385596821</v>
      </c>
      <c r="N32" s="101"/>
      <c r="O32" s="93">
        <v>465912.59894806735</v>
      </c>
      <c r="P32" s="101"/>
      <c r="Q32" s="93">
        <v>8899612.5172784459</v>
      </c>
      <c r="R32" s="101"/>
      <c r="S32" s="124">
        <v>-5373866.0101628974</v>
      </c>
      <c r="T32" s="75"/>
    </row>
    <row r="33" spans="1:21" ht="20.25">
      <c r="A33" s="75"/>
      <c r="B33" s="76"/>
      <c r="C33" s="77"/>
      <c r="D33" s="92"/>
      <c r="E33" s="78"/>
      <c r="F33" s="102"/>
      <c r="G33" s="102"/>
      <c r="H33" s="103"/>
      <c r="I33" s="101"/>
      <c r="J33" s="104"/>
      <c r="K33" s="124"/>
      <c r="L33" s="116"/>
      <c r="M33" s="93"/>
      <c r="N33" s="101"/>
      <c r="O33" s="93"/>
      <c r="P33" s="101"/>
      <c r="Q33" s="93"/>
      <c r="R33" s="101"/>
      <c r="S33" s="124"/>
      <c r="T33" s="75"/>
    </row>
    <row r="34" spans="1:21" ht="20.25">
      <c r="A34" s="75"/>
      <c r="B34" s="76" t="s">
        <v>51</v>
      </c>
      <c r="C34" s="77"/>
      <c r="D34" s="92" t="s">
        <v>52</v>
      </c>
      <c r="E34" s="78"/>
      <c r="F34" s="102"/>
      <c r="G34" s="102" t="s">
        <v>53</v>
      </c>
      <c r="H34" s="103"/>
      <c r="I34" s="101">
        <f>SUM(Q34,K34,S34,O34,M34,)</f>
        <v>7421845</v>
      </c>
      <c r="J34" s="104"/>
      <c r="K34" s="124"/>
      <c r="L34" s="116"/>
      <c r="M34" s="93"/>
      <c r="N34" s="101"/>
      <c r="O34" s="93"/>
      <c r="P34" s="101"/>
      <c r="Q34" s="93">
        <v>7421845</v>
      </c>
      <c r="R34" s="101"/>
      <c r="S34" s="124"/>
      <c r="T34" s="75"/>
    </row>
    <row r="35" spans="1:21" ht="21" thickBot="1">
      <c r="A35" s="75"/>
      <c r="B35" s="123"/>
      <c r="C35" s="75"/>
      <c r="D35" s="75"/>
      <c r="E35" s="78"/>
      <c r="F35" s="102"/>
      <c r="G35" s="103"/>
      <c r="H35" s="103"/>
      <c r="I35" s="93"/>
      <c r="J35" s="104"/>
      <c r="K35" s="119"/>
      <c r="L35" s="125"/>
      <c r="M35" s="116"/>
      <c r="N35" s="101"/>
      <c r="O35" s="116"/>
      <c r="P35" s="101"/>
      <c r="Q35" s="116"/>
      <c r="R35" s="101"/>
      <c r="S35" s="119"/>
      <c r="T35" s="75"/>
    </row>
    <row r="36" spans="1:21" ht="21" thickBot="1">
      <c r="A36" s="75"/>
      <c r="B36" s="76">
        <f>B32+1</f>
        <v>12</v>
      </c>
      <c r="C36" s="77"/>
      <c r="D36" s="126" t="s">
        <v>49</v>
      </c>
      <c r="E36" s="127"/>
      <c r="F36" s="128"/>
      <c r="G36" s="129" t="str">
        <f>"(Ln "&amp;B30&amp;" + Ln "&amp;B32&amp;" )"</f>
        <v>(Ln 10 + Ln 11 )</v>
      </c>
      <c r="H36" s="130"/>
      <c r="I36" s="131">
        <f>+I30+I32+I34</f>
        <v>1576044855.7545722</v>
      </c>
      <c r="J36" s="104"/>
      <c r="K36" s="131">
        <f>+K30+K32+K34</f>
        <v>18390759.846477069</v>
      </c>
      <c r="L36" s="132"/>
      <c r="M36" s="131">
        <f>+M30+M32+M34</f>
        <v>422748828.8982994</v>
      </c>
      <c r="N36" s="101"/>
      <c r="O36" s="131">
        <f>+O30+O32+O34</f>
        <v>16908016.09099571</v>
      </c>
      <c r="P36" s="101"/>
      <c r="Q36" s="131">
        <f>+Q30+Q32+Q34</f>
        <v>850876994.31758738</v>
      </c>
      <c r="R36" s="101"/>
      <c r="S36" s="131">
        <f>+S30+S32+S34</f>
        <v>267120256.60121274</v>
      </c>
      <c r="T36" s="75"/>
    </row>
    <row r="37" spans="1:21" ht="20.25">
      <c r="A37" s="75"/>
      <c r="B37" s="76"/>
      <c r="C37" s="77"/>
      <c r="D37" s="92"/>
      <c r="E37" s="78"/>
      <c r="F37" s="75"/>
      <c r="G37" s="102"/>
      <c r="H37" s="103"/>
      <c r="I37" s="132"/>
      <c r="J37" s="103"/>
      <c r="K37" s="133"/>
      <c r="L37" s="133"/>
      <c r="M37" s="133"/>
      <c r="N37" s="133"/>
      <c r="O37" s="133"/>
      <c r="P37" s="133"/>
      <c r="Q37" s="133"/>
      <c r="R37" s="133"/>
      <c r="S37" s="133"/>
      <c r="T37" s="75"/>
    </row>
    <row r="38" spans="1:21" ht="20.25">
      <c r="A38" s="86" t="s">
        <v>10</v>
      </c>
      <c r="B38" s="91" t="s">
        <v>11</v>
      </c>
      <c r="C38" s="89"/>
      <c r="D38" s="78"/>
      <c r="E38" s="89"/>
      <c r="F38" s="78"/>
      <c r="G38" s="78"/>
      <c r="H38" s="78"/>
      <c r="I38" s="75"/>
      <c r="J38" s="78"/>
      <c r="K38" s="75"/>
      <c r="L38" s="78"/>
      <c r="M38" s="75"/>
      <c r="N38" s="75"/>
      <c r="O38" s="75"/>
      <c r="P38" s="75"/>
      <c r="Q38" s="75"/>
      <c r="R38" s="75"/>
      <c r="S38" s="75"/>
      <c r="T38" s="75"/>
    </row>
    <row r="39" spans="1:21" ht="20.25">
      <c r="A39" s="75"/>
      <c r="B39" s="76">
        <f>+B36+1</f>
        <v>13</v>
      </c>
      <c r="C39" s="77"/>
      <c r="D39" s="111" t="str">
        <f>""&amp;X1&amp;" AEP East Zone Network Service Peak Load (1 CP)"</f>
        <v xml:space="preserve">  AEP East Zone Network Service Peak Load (1 CP)</v>
      </c>
      <c r="E39" s="78"/>
      <c r="F39" s="102"/>
      <c r="G39" s="134"/>
      <c r="H39" s="103"/>
      <c r="I39" s="155">
        <v>22825.599999999999</v>
      </c>
      <c r="J39" s="103" t="s">
        <v>12</v>
      </c>
      <c r="K39" s="104"/>
      <c r="L39" s="103"/>
      <c r="M39" s="104"/>
      <c r="N39" s="75"/>
      <c r="O39" s="104"/>
      <c r="P39" s="75"/>
      <c r="Q39" s="104"/>
      <c r="R39" s="75"/>
      <c r="S39" s="104"/>
      <c r="T39" s="75"/>
    </row>
    <row r="40" spans="1:21" ht="20.25">
      <c r="A40" s="135"/>
      <c r="B40" s="109">
        <f>+B39+1</f>
        <v>14</v>
      </c>
      <c r="C40" s="136"/>
      <c r="D40" s="111" t="str">
        <f>"Annual Point-to-Point Rate in $/MW - Year"</f>
        <v>Annual Point-to-Point Rate in $/MW - Year</v>
      </c>
      <c r="E40" s="137"/>
      <c r="F40" s="137"/>
      <c r="G40" s="139" t="str">
        <f>"(Ln "&amp;B36&amp;" / Ln "&amp;B39&amp;")"</f>
        <v>(Ln 12 / Ln 13)</v>
      </c>
      <c r="H40" s="137"/>
      <c r="I40" s="140">
        <f>ROUND(+I36/I39,4)</f>
        <v>69047.247600000002</v>
      </c>
      <c r="J40" s="137"/>
      <c r="K40" s="141"/>
      <c r="L40" s="137"/>
      <c r="M40" s="137"/>
      <c r="N40" s="137"/>
      <c r="O40" s="137"/>
      <c r="P40" s="137"/>
      <c r="Q40" s="142"/>
      <c r="R40" s="137"/>
      <c r="S40" s="141"/>
      <c r="T40" s="137"/>
      <c r="U40"/>
    </row>
    <row r="41" spans="1:21" ht="20.25">
      <c r="A41" s="135"/>
      <c r="B41" s="109">
        <f t="shared" ref="B41:B46" si="0">+B40+1</f>
        <v>15</v>
      </c>
      <c r="C41" s="136"/>
      <c r="D41" s="111" t="str">
        <f>"Monthly Point-to-Point Rate in $/MW - Month"</f>
        <v>Monthly Point-to-Point Rate in $/MW - Month</v>
      </c>
      <c r="E41" s="137"/>
      <c r="F41" s="137"/>
      <c r="G41" s="139" t="str">
        <f>"(Ln "&amp;$B$40&amp;" / 12)"</f>
        <v>(Ln 14 / 12)</v>
      </c>
      <c r="H41" s="137"/>
      <c r="I41" s="140">
        <f>ROUND(+I$40/12,4)</f>
        <v>5753.9372999999996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/>
    </row>
    <row r="42" spans="1:21" ht="20.25">
      <c r="A42" s="135"/>
      <c r="B42" s="109">
        <f t="shared" si="0"/>
        <v>16</v>
      </c>
      <c r="C42" s="136"/>
      <c r="D42" s="111" t="str">
        <f>"Weekly Point-to-Point Rate in $/MW - Weekly"</f>
        <v>Weekly Point-to-Point Rate in $/MW - Weekly</v>
      </c>
      <c r="E42" s="136"/>
      <c r="F42" s="136"/>
      <c r="G42" s="139" t="str">
        <f>"(Ln "&amp;$B$40&amp;" / 52)"</f>
        <v>(Ln 14 / 52)</v>
      </c>
      <c r="H42" s="136"/>
      <c r="I42" s="140">
        <f>ROUND(+I40/52,4)</f>
        <v>1327.8317</v>
      </c>
      <c r="J42" s="136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/>
    </row>
    <row r="43" spans="1:21" ht="20.25">
      <c r="A43" s="75"/>
      <c r="B43" s="109">
        <f t="shared" si="0"/>
        <v>17</v>
      </c>
      <c r="C43" s="136"/>
      <c r="D43" s="111" t="str">
        <f>"Daily On-Peak Point-to-Point Rate in $/MW - Day"</f>
        <v>Daily On-Peak Point-to-Point Rate in $/MW - Day</v>
      </c>
      <c r="E43" s="137"/>
      <c r="F43" s="137"/>
      <c r="G43" s="139" t="str">
        <f>"(Ln "&amp;$B$40&amp;" / 260)"</f>
        <v>(Ln 14 / 260)</v>
      </c>
      <c r="H43" s="137"/>
      <c r="I43" s="140">
        <f>ROUND(+I40/260,4)</f>
        <v>265.56630000000001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/>
    </row>
    <row r="44" spans="1:21" ht="20.25">
      <c r="A44" s="75"/>
      <c r="B44" s="109">
        <f t="shared" si="0"/>
        <v>18</v>
      </c>
      <c r="C44" s="136"/>
      <c r="D44" s="111" t="str">
        <f>"Daily Off-Peak Point-to-Point Rate in $/MW - Day"</f>
        <v>Daily Off-Peak Point-to-Point Rate in $/MW - Day</v>
      </c>
      <c r="E44" s="137"/>
      <c r="F44" s="137"/>
      <c r="G44" s="139" t="str">
        <f>"(Ln "&amp;$B$40&amp;" / 365)"</f>
        <v>(Ln 14 / 365)</v>
      </c>
      <c r="H44" s="137"/>
      <c r="I44" s="140">
        <f>ROUND(+I40/365,4)</f>
        <v>189.1705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/>
    </row>
    <row r="45" spans="1:21" ht="20.25">
      <c r="A45" s="75"/>
      <c r="B45" s="109">
        <f t="shared" si="0"/>
        <v>19</v>
      </c>
      <c r="C45" s="136"/>
      <c r="D45" s="111" t="str">
        <f>"Hourly On-Peak Point-to-Point Rate in $/MW - Hour"</f>
        <v>Hourly On-Peak Point-to-Point Rate in $/MW - Hour</v>
      </c>
      <c r="E45" s="137"/>
      <c r="F45" s="137"/>
      <c r="G45" s="139" t="str">
        <f>"(Ln "&amp;$B$40&amp;" / 4160)"</f>
        <v>(Ln 14 / 4160)</v>
      </c>
      <c r="H45" s="137"/>
      <c r="I45" s="140">
        <f>ROUND(+I40/4160,4)</f>
        <v>16.597899999999999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/>
    </row>
    <row r="46" spans="1:21" ht="20.25">
      <c r="A46" s="75"/>
      <c r="B46" s="109">
        <f t="shared" si="0"/>
        <v>20</v>
      </c>
      <c r="C46" s="136"/>
      <c r="D46" s="111" t="str">
        <f>"Hourly Off-Peak Point-to-Point Rate in $/MW - Hour"</f>
        <v>Hourly Off-Peak Point-to-Point Rate in $/MW - Hour</v>
      </c>
      <c r="E46" s="137"/>
      <c r="F46" s="137"/>
      <c r="G46" s="139" t="str">
        <f>"(Ln "&amp;$B$40&amp;" / 8760)"</f>
        <v>(Ln 14 / 8760)</v>
      </c>
      <c r="H46" s="137"/>
      <c r="I46" s="140">
        <f>ROUND(+I40/8760,4)</f>
        <v>7.8821000000000003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/>
    </row>
    <row r="47" spans="1:21" ht="20.25">
      <c r="A47" s="75"/>
      <c r="B47" s="123"/>
      <c r="C47" s="75"/>
      <c r="D47" s="75"/>
      <c r="E47" s="75"/>
      <c r="F47" s="75"/>
      <c r="G47" s="143"/>
      <c r="H47" s="103"/>
      <c r="I47" s="75"/>
      <c r="J47" s="103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/>
    </row>
    <row r="48" spans="1:21" ht="20.25">
      <c r="A48" s="86" t="s">
        <v>13</v>
      </c>
      <c r="B48" s="91" t="s">
        <v>19</v>
      </c>
      <c r="C48" s="89"/>
      <c r="D48" s="78"/>
      <c r="E48" s="89"/>
      <c r="F48" s="78"/>
      <c r="G48" s="77"/>
      <c r="H48" s="78"/>
      <c r="I48" s="75"/>
      <c r="J48" s="78"/>
      <c r="K48" s="75"/>
      <c r="L48" s="78"/>
      <c r="M48" s="75"/>
      <c r="N48" s="75"/>
      <c r="O48" s="75"/>
      <c r="P48" s="75"/>
      <c r="Q48" s="75"/>
      <c r="R48" s="75"/>
      <c r="S48" s="75"/>
      <c r="T48" s="75"/>
    </row>
    <row r="49" spans="1:23" ht="20.25">
      <c r="A49" s="75"/>
      <c r="B49" s="144">
        <f>+B46+1</f>
        <v>21</v>
      </c>
      <c r="C49" s="137"/>
      <c r="D49" s="137" t="str">
        <f>"RTEP UPGRADE PTRR W/O INCENTIVES"</f>
        <v>RTEP UPGRADE PTRR W/O INCENTIVES</v>
      </c>
      <c r="E49" s="75"/>
      <c r="F49" s="75"/>
      <c r="G49" s="102" t="str">
        <f>"(Ln "&amp;B24&amp;")"</f>
        <v>(Ln 7)</v>
      </c>
      <c r="H49" s="137"/>
      <c r="I49" s="145">
        <f>SUM(Q49,K49,S49,O49,M49,)</f>
        <v>150655114.4880752</v>
      </c>
      <c r="J49" s="137"/>
      <c r="K49" s="146">
        <f>+K22</f>
        <v>0</v>
      </c>
      <c r="L49" s="137"/>
      <c r="M49" s="146">
        <f>+M22</f>
        <v>52749142.447029829</v>
      </c>
      <c r="N49" s="138"/>
      <c r="O49" s="146">
        <f>+O22</f>
        <v>4876605.2974782176</v>
      </c>
      <c r="P49" s="138"/>
      <c r="Q49" s="146">
        <f>+Q22</f>
        <v>42010567.131637082</v>
      </c>
      <c r="R49" s="138"/>
      <c r="S49" s="146">
        <f>+S22</f>
        <v>51018799.611930065</v>
      </c>
      <c r="T49" s="75"/>
    </row>
    <row r="50" spans="1:23" ht="20.25">
      <c r="A50" s="75"/>
      <c r="B50" s="144">
        <f>+B49+1</f>
        <v>22</v>
      </c>
      <c r="C50" s="137"/>
      <c r="D50" s="75" t="s">
        <v>21</v>
      </c>
      <c r="E50" s="75"/>
      <c r="F50" s="75"/>
      <c r="G50" s="134" t="str">
        <f>"(Worksheet J)"</f>
        <v>(Worksheet J)</v>
      </c>
      <c r="H50" s="137"/>
      <c r="I50" s="145">
        <f>SUM(Q50,K50,S50,O50,M50,)</f>
        <v>0</v>
      </c>
      <c r="J50" s="137"/>
      <c r="K50" s="147">
        <v>0</v>
      </c>
      <c r="L50" s="137"/>
      <c r="M50" s="142">
        <v>0</v>
      </c>
      <c r="N50" s="138"/>
      <c r="O50" s="142">
        <v>0</v>
      </c>
      <c r="P50" s="138"/>
      <c r="Q50" s="148">
        <v>0</v>
      </c>
      <c r="R50" s="138"/>
      <c r="S50" s="142">
        <v>0</v>
      </c>
      <c r="T50" s="75"/>
    </row>
    <row r="51" spans="1:23" ht="21" thickBot="1">
      <c r="A51" s="75"/>
      <c r="B51" s="144">
        <f>+B50+1</f>
        <v>23</v>
      </c>
      <c r="C51" s="137"/>
      <c r="D51" s="75" t="s">
        <v>54</v>
      </c>
      <c r="E51" s="75"/>
      <c r="F51" s="75"/>
      <c r="G51" s="102" t="s">
        <v>42</v>
      </c>
      <c r="H51" s="137"/>
      <c r="I51" s="145">
        <f>SUM(Q51,K51,S51,O51,M51,)</f>
        <v>1958931.6070071105</v>
      </c>
      <c r="J51" s="137"/>
      <c r="K51" s="148">
        <v>0</v>
      </c>
      <c r="L51" s="137"/>
      <c r="M51" s="147">
        <v>362705.29333675274</v>
      </c>
      <c r="N51" s="145"/>
      <c r="O51" s="147">
        <v>234717.04040900047</v>
      </c>
      <c r="P51" s="145"/>
      <c r="Q51" s="147">
        <v>372159.54556017712</v>
      </c>
      <c r="R51" s="145"/>
      <c r="S51" s="147">
        <v>989349.72770118015</v>
      </c>
      <c r="T51" s="138"/>
      <c r="U51" s="34"/>
      <c r="V51" s="30"/>
      <c r="W51" s="33"/>
    </row>
    <row r="52" spans="1:23" ht="21" thickBot="1">
      <c r="A52" s="75"/>
      <c r="B52" s="144">
        <f>+B51+1</f>
        <v>24</v>
      </c>
      <c r="C52" s="137"/>
      <c r="D52" s="149" t="s">
        <v>50</v>
      </c>
      <c r="E52" s="128"/>
      <c r="F52" s="128"/>
      <c r="G52" s="150"/>
      <c r="H52" s="150"/>
      <c r="I52" s="151">
        <f>+I49+I50+I51</f>
        <v>152614046.09508231</v>
      </c>
      <c r="J52" s="137"/>
      <c r="K52" s="152">
        <f>+K49+K50+K51</f>
        <v>0</v>
      </c>
      <c r="L52" s="137"/>
      <c r="M52" s="152">
        <f>+M49+M50+M51</f>
        <v>53111847.740366578</v>
      </c>
      <c r="N52" s="138"/>
      <c r="O52" s="152">
        <f>+O49+O50+O51</f>
        <v>5111322.3378872182</v>
      </c>
      <c r="P52" s="138"/>
      <c r="Q52" s="152">
        <f>+Q49+Q50+Q51</f>
        <v>42382726.677197255</v>
      </c>
      <c r="R52" s="138"/>
      <c r="S52" s="152">
        <f>+S49+S50+S51</f>
        <v>52008149.339631245</v>
      </c>
      <c r="T52" s="75"/>
    </row>
    <row r="53" spans="1:23" ht="20.25">
      <c r="A53" s="75"/>
      <c r="B53" s="153"/>
      <c r="C53" s="137"/>
      <c r="D53" s="137"/>
      <c r="E53" s="137"/>
      <c r="F53" s="137"/>
      <c r="G53" s="137"/>
      <c r="H53" s="137"/>
      <c r="I53" s="138"/>
      <c r="J53" s="137"/>
      <c r="K53" s="75"/>
      <c r="L53" s="137"/>
      <c r="M53" s="137"/>
      <c r="N53" s="138"/>
      <c r="O53" s="137"/>
      <c r="P53" s="138"/>
      <c r="Q53" s="137"/>
      <c r="R53" s="138"/>
      <c r="S53" s="137"/>
      <c r="T53" s="75"/>
    </row>
    <row r="54" spans="1:23" ht="18">
      <c r="A54" s="70"/>
      <c r="B54" s="72"/>
      <c r="C54" s="69"/>
      <c r="D54" s="69" t="s">
        <v>9</v>
      </c>
      <c r="E54" s="73" t="s">
        <v>9</v>
      </c>
      <c r="F54" s="69"/>
      <c r="G54" s="69"/>
      <c r="H54" s="69"/>
      <c r="I54" s="71"/>
      <c r="J54" s="69"/>
      <c r="K54" s="70"/>
      <c r="L54" s="69"/>
      <c r="M54" s="69"/>
      <c r="N54" s="71"/>
      <c r="O54" s="69"/>
      <c r="P54" s="71"/>
      <c r="Q54" s="69"/>
      <c r="R54" s="71"/>
      <c r="S54" s="69"/>
    </row>
    <row r="55" spans="1:23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O55" s="30"/>
      <c r="P55" s="30"/>
      <c r="R55" s="30"/>
      <c r="S55" s="30"/>
    </row>
    <row r="56" spans="1:23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O56" s="30"/>
      <c r="P56" s="30"/>
      <c r="R56" s="30"/>
      <c r="S56" s="30"/>
    </row>
    <row r="57" spans="1:23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1:23">
      <c r="B58" s="36"/>
      <c r="C58" s="37"/>
      <c r="D58" s="37"/>
      <c r="E58" s="37"/>
      <c r="F58" s="37"/>
      <c r="G58" s="37"/>
      <c r="H58" s="37"/>
      <c r="I58" s="30"/>
      <c r="J58" s="37"/>
      <c r="K58" s="37"/>
      <c r="L58" s="37"/>
      <c r="M58" s="37"/>
      <c r="N58" s="30"/>
      <c r="P58" s="30"/>
      <c r="Q58" s="30"/>
      <c r="R58" s="30"/>
      <c r="S58" s="30"/>
    </row>
    <row r="59" spans="1:23">
      <c r="B59" s="36"/>
      <c r="C59" s="37"/>
      <c r="D59" s="37"/>
      <c r="E59" s="37"/>
      <c r="F59" s="37"/>
      <c r="G59" s="37"/>
      <c r="H59" s="37"/>
      <c r="I59" s="30"/>
      <c r="J59" s="37"/>
      <c r="K59" s="37"/>
      <c r="L59" s="37"/>
      <c r="M59" s="37"/>
      <c r="N59" s="30"/>
      <c r="P59" s="30"/>
      <c r="Q59" s="30"/>
      <c r="R59" s="30"/>
      <c r="S59" s="30"/>
    </row>
    <row r="60" spans="1:23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1:23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1:23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1:23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</row>
    <row r="64" spans="1:23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</row>
    <row r="65" spans="2:19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9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9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9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9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9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9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9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9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9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  <row r="976" spans="2:13">
      <c r="B976" s="39"/>
      <c r="C976" s="28"/>
      <c r="D976" s="28"/>
      <c r="E976" s="28"/>
      <c r="F976" s="28"/>
      <c r="G976" s="28"/>
      <c r="H976" s="28"/>
      <c r="J976" s="28"/>
      <c r="K976" s="28"/>
      <c r="L976" s="28"/>
      <c r="M976" s="28"/>
    </row>
    <row r="977" spans="2:13">
      <c r="B977" s="39"/>
      <c r="C977" s="28"/>
      <c r="D977" s="28"/>
      <c r="E977" s="28"/>
      <c r="F977" s="28"/>
      <c r="G977" s="28"/>
      <c r="H977" s="28"/>
      <c r="J977" s="28"/>
      <c r="K977" s="28"/>
      <c r="L977" s="28"/>
      <c r="M977" s="28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S3"/>
    <mergeCell ref="A4:S4"/>
    <mergeCell ref="A5:S5"/>
    <mergeCell ref="A8:R8"/>
  </mergeCells>
  <phoneticPr fontId="0" type="noConversion"/>
  <printOptions horizontalCentered="1"/>
  <pageMargins left="0.41" right="0.23" top="1.75" bottom="0.33" header="1.25" footer="0.17"/>
  <pageSetup scale="38" orientation="landscape" r:id="rId2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963"/>
  <sheetViews>
    <sheetView zoomScale="70" zoomScaleNormal="70" workbookViewId="0">
      <selection activeCell="I20" sqref="I20"/>
    </sheetView>
  </sheetViews>
  <sheetFormatPr defaultColWidth="11.42578125" defaultRowHeight="15"/>
  <cols>
    <col min="1" max="1" width="4.85546875" style="1" customWidth="1"/>
    <col min="2" max="2" width="5.85546875" style="20" bestFit="1" customWidth="1"/>
    <col min="3" max="3" width="2" style="1" customWidth="1"/>
    <col min="4" max="4" width="71.140625" style="1" customWidth="1"/>
    <col min="5" max="5" width="23.140625" style="1" customWidth="1"/>
    <col min="6" max="6" width="5.42578125" style="1" customWidth="1"/>
    <col min="7" max="7" width="19.5703125" style="1" bestFit="1" customWidth="1"/>
    <col min="8" max="8" width="6.42578125" style="1" customWidth="1"/>
    <col min="9" max="9" width="24" style="1" customWidth="1"/>
    <col min="10" max="10" width="2.7109375" style="1" customWidth="1"/>
    <col min="11" max="11" width="23" style="1" customWidth="1"/>
    <col min="12" max="12" width="2.7109375" style="1" customWidth="1"/>
    <col min="13" max="13" width="25.5703125" style="1" customWidth="1"/>
    <col min="14" max="14" width="2.7109375" style="1" customWidth="1"/>
    <col min="15" max="15" width="23.85546875" style="1" customWidth="1"/>
    <col min="16" max="16" width="2.7109375" style="1" customWidth="1"/>
    <col min="17" max="17" width="23.85546875" style="1" customWidth="1"/>
    <col min="18" max="18" width="2.28515625" style="1" customWidth="1"/>
    <col min="19" max="19" width="14.140625" style="1" bestFit="1" customWidth="1"/>
    <col min="20" max="16384" width="11.42578125" style="1"/>
  </cols>
  <sheetData>
    <row r="1" spans="1:24">
      <c r="A1"/>
      <c r="B1"/>
      <c r="C1"/>
      <c r="D1"/>
      <c r="E1"/>
      <c r="F1"/>
      <c r="H1" s="3"/>
      <c r="I1"/>
      <c r="J1"/>
      <c r="X1" s="55" t="s">
        <v>9</v>
      </c>
    </row>
    <row r="2" spans="1:24">
      <c r="B2" s="2"/>
      <c r="C2" s="3"/>
      <c r="D2" s="3"/>
      <c r="E2" s="3"/>
      <c r="F2" s="3"/>
      <c r="H2" s="3"/>
      <c r="I2" s="3"/>
      <c r="J2" s="3"/>
      <c r="S2" s="44"/>
    </row>
    <row r="3" spans="1:24" ht="15.75">
      <c r="A3" s="164" t="s">
        <v>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59"/>
      <c r="U3" s="59"/>
    </row>
    <row r="4" spans="1:24" ht="18">
      <c r="A4" s="165" t="str">
        <f>"Forecasted Costs through December 31, 2024"</f>
        <v>Forecasted Costs through December 31, 2024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4">
      <c r="A5" s="166" t="str">
        <f>"For charges effective January 1, 2024"</f>
        <v>For charges effective January 1, 2024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4"/>
    </row>
    <row r="6" spans="1:24">
      <c r="B6" s="6"/>
      <c r="C6" s="7"/>
      <c r="D6" s="5"/>
      <c r="H6" s="5"/>
      <c r="I6" s="8"/>
      <c r="J6" s="8"/>
      <c r="K6" s="5"/>
    </row>
    <row r="7" spans="1:24" ht="15.75">
      <c r="A7" s="163" t="s">
        <v>37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24" ht="15.75">
      <c r="A8" s="9"/>
      <c r="B8" s="6"/>
      <c r="C8" s="7"/>
      <c r="D8" s="5"/>
      <c r="H8" s="5"/>
      <c r="I8" s="5"/>
      <c r="J8" s="5"/>
    </row>
    <row r="9" spans="1:24" ht="63">
      <c r="B9" s="6"/>
      <c r="C9" s="7"/>
      <c r="D9" s="5"/>
      <c r="E9" s="5"/>
      <c r="F9" s="8"/>
      <c r="G9" s="63" t="s">
        <v>39</v>
      </c>
      <c r="H9" s="60"/>
      <c r="I9" s="61" t="s">
        <v>30</v>
      </c>
      <c r="J9" s="62"/>
      <c r="K9" s="63" t="s">
        <v>33</v>
      </c>
      <c r="L9" s="64"/>
      <c r="M9" s="63" t="s">
        <v>32</v>
      </c>
      <c r="N9" s="64"/>
      <c r="O9" s="63" t="s">
        <v>28</v>
      </c>
      <c r="P9" s="64"/>
      <c r="Q9" s="63" t="s">
        <v>31</v>
      </c>
    </row>
    <row r="10" spans="1:24" ht="15.75">
      <c r="B10" s="6" t="s">
        <v>0</v>
      </c>
      <c r="C10" s="7"/>
      <c r="D10" s="5"/>
      <c r="E10" s="5"/>
      <c r="F10" s="5"/>
      <c r="G10" s="10" t="s">
        <v>29</v>
      </c>
      <c r="H10" s="5"/>
      <c r="I10" s="11" t="s">
        <v>29</v>
      </c>
      <c r="J10" s="11"/>
      <c r="K10" s="11" t="s">
        <v>29</v>
      </c>
      <c r="M10" s="11" t="s">
        <v>29</v>
      </c>
      <c r="O10" s="11" t="s">
        <v>29</v>
      </c>
      <c r="Q10" s="11" t="s">
        <v>29</v>
      </c>
    </row>
    <row r="11" spans="1:24" ht="16.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1:24">
      <c r="B12" s="14"/>
      <c r="C12" s="13"/>
      <c r="D12" s="16"/>
      <c r="E12" s="13"/>
      <c r="F12" s="5"/>
      <c r="H12" s="5"/>
      <c r="J12" s="5"/>
    </row>
    <row r="13" spans="1:24">
      <c r="B13" s="14"/>
      <c r="C13" s="13"/>
      <c r="D13" s="5"/>
      <c r="E13" s="13"/>
      <c r="F13" s="5"/>
      <c r="H13" s="5"/>
      <c r="J13" s="5"/>
    </row>
    <row r="14" spans="1:24" ht="15.75">
      <c r="A14" s="10" t="s">
        <v>3</v>
      </c>
      <c r="B14" s="15" t="s">
        <v>20</v>
      </c>
      <c r="C14" s="13"/>
      <c r="D14" s="5"/>
      <c r="E14" s="13"/>
      <c r="F14" s="5"/>
      <c r="H14" s="5"/>
      <c r="I14" s="5"/>
      <c r="J14" s="5"/>
    </row>
    <row r="15" spans="1:24">
      <c r="B15" s="6">
        <v>1</v>
      </c>
      <c r="C15" s="7"/>
      <c r="D15" s="26" t="s">
        <v>41</v>
      </c>
      <c r="E15" s="5"/>
      <c r="F15" s="18"/>
      <c r="G15" s="25">
        <f>SUM(I15,K15,M15,O15,Q15,,)</f>
        <v>3948687.9798433403</v>
      </c>
      <c r="H15" s="48"/>
      <c r="I15" s="25">
        <v>76791.172526329799</v>
      </c>
      <c r="J15" s="25"/>
      <c r="K15" s="50">
        <v>819830.8208846061</v>
      </c>
      <c r="L15" s="17"/>
      <c r="M15" s="50">
        <v>41888.352168304598</v>
      </c>
      <c r="N15" s="17"/>
      <c r="O15" s="25">
        <v>1252861.7317206999</v>
      </c>
      <c r="P15" s="17"/>
      <c r="Q15" s="25">
        <v>1757315.9025433999</v>
      </c>
      <c r="R15" s="17"/>
    </row>
    <row r="16" spans="1:24">
      <c r="B16" s="6">
        <f>+B15+1</f>
        <v>2</v>
      </c>
      <c r="C16" s="7"/>
      <c r="D16" s="16" t="s">
        <v>14</v>
      </c>
      <c r="E16" s="5"/>
      <c r="F16" s="18"/>
      <c r="G16" s="25">
        <f>SUM(I16,K16,M16,O16,Q16,,)</f>
        <v>4.2504705703430318E-2</v>
      </c>
      <c r="H16" s="48"/>
      <c r="I16" s="25">
        <v>3.1400515422790626E-2</v>
      </c>
      <c r="J16" s="25"/>
      <c r="K16" s="50">
        <v>-2.207669418281067E-2</v>
      </c>
      <c r="L16" s="17"/>
      <c r="M16" s="50">
        <v>2.5625898291161057E-3</v>
      </c>
      <c r="N16" s="17"/>
      <c r="O16" s="25">
        <v>-3.2804813175256839E-2</v>
      </c>
      <c r="P16" s="17"/>
      <c r="Q16" s="25">
        <v>6.3423107809591095E-2</v>
      </c>
      <c r="R16" s="17"/>
    </row>
    <row r="17" spans="1:18" ht="15.75" thickBot="1">
      <c r="B17" s="6">
        <f>+B16+1</f>
        <v>3</v>
      </c>
      <c r="C17" s="7"/>
      <c r="D17" s="16" t="s">
        <v>15</v>
      </c>
      <c r="E17" s="5"/>
      <c r="F17" s="18"/>
      <c r="G17" s="41">
        <f>SUM(I17,K17,M17,O17,Q17,,)</f>
        <v>0</v>
      </c>
      <c r="H17" s="48"/>
      <c r="I17" s="41">
        <v>0</v>
      </c>
      <c r="J17" s="25"/>
      <c r="K17" s="51">
        <v>0</v>
      </c>
      <c r="L17" s="17"/>
      <c r="M17" s="56">
        <v>0</v>
      </c>
      <c r="N17" s="17"/>
      <c r="O17" s="57">
        <v>0</v>
      </c>
      <c r="P17" s="17"/>
      <c r="Q17" s="57">
        <v>0</v>
      </c>
      <c r="R17" s="17"/>
    </row>
    <row r="18" spans="1:18">
      <c r="B18" s="6">
        <f>+B17+1</f>
        <v>4</v>
      </c>
      <c r="C18" s="7"/>
      <c r="D18" s="16" t="s">
        <v>16</v>
      </c>
      <c r="E18" s="7" t="str">
        <f>"(Ln "&amp;B15&amp;" - Ln "&amp;B16&amp;" - Ln "&amp;B17&amp;")"</f>
        <v>(Ln 1 - Ln 2 - Ln 3)</v>
      </c>
      <c r="F18" s="18"/>
      <c r="G18" s="25">
        <f>+G15-G16-G17</f>
        <v>3948687.9373386349</v>
      </c>
      <c r="H18" s="48"/>
      <c r="I18" s="25">
        <f>+I15-I16-I17</f>
        <v>76791.141125814378</v>
      </c>
      <c r="J18" s="25"/>
      <c r="K18" s="50">
        <f>+K15-K16-K17</f>
        <v>819830.84296130028</v>
      </c>
      <c r="L18" s="17"/>
      <c r="M18" s="50">
        <f>+M15-M16-M17</f>
        <v>41888.349605714771</v>
      </c>
      <c r="N18" s="17"/>
      <c r="O18" s="25">
        <f>+O15-O16-O17</f>
        <v>1252861.7645255132</v>
      </c>
      <c r="P18" s="17"/>
      <c r="Q18" s="25">
        <f>+Q15-Q16-Q17</f>
        <v>1757315.8391202921</v>
      </c>
      <c r="R18" s="17"/>
    </row>
    <row r="19" spans="1:18">
      <c r="B19" s="1"/>
      <c r="C19" s="7"/>
      <c r="D19" s="16"/>
      <c r="E19" s="7"/>
      <c r="F19" s="18"/>
      <c r="G19" s="25"/>
      <c r="H19" s="48"/>
      <c r="I19" s="25"/>
      <c r="J19" s="25"/>
      <c r="K19" s="50"/>
      <c r="L19" s="17"/>
      <c r="M19" s="50"/>
      <c r="N19" s="17"/>
      <c r="O19" s="25"/>
      <c r="P19" s="17"/>
      <c r="Q19" s="25"/>
      <c r="R19" s="17"/>
    </row>
    <row r="20" spans="1:18">
      <c r="B20" s="6">
        <f>+B18+1</f>
        <v>5</v>
      </c>
      <c r="C20" s="7"/>
      <c r="D20" s="16" t="s">
        <v>17</v>
      </c>
      <c r="E20" s="7"/>
      <c r="F20" s="18"/>
      <c r="G20" s="25">
        <f>SUM(I20,K20,M20,O20,Q20,,)</f>
        <v>0</v>
      </c>
      <c r="H20" s="19"/>
      <c r="I20" s="49">
        <v>0</v>
      </c>
      <c r="J20" s="52"/>
      <c r="K20" s="49">
        <v>0</v>
      </c>
      <c r="L20" s="17"/>
      <c r="M20" s="49">
        <v>0</v>
      </c>
      <c r="N20" s="17"/>
      <c r="O20" s="49">
        <v>0</v>
      </c>
      <c r="P20" s="17"/>
      <c r="Q20" s="49">
        <v>0</v>
      </c>
      <c r="R20" s="17"/>
    </row>
    <row r="21" spans="1:18">
      <c r="B21" s="6"/>
      <c r="C21" s="7"/>
      <c r="D21" s="16"/>
      <c r="E21" s="7"/>
      <c r="F21" s="18"/>
      <c r="G21" s="25"/>
      <c r="H21" s="48"/>
      <c r="I21" s="25"/>
      <c r="J21" s="25"/>
      <c r="K21" s="50"/>
      <c r="L21" s="17"/>
      <c r="M21" s="50"/>
      <c r="N21" s="17"/>
      <c r="O21" s="25"/>
      <c r="P21" s="17"/>
      <c r="Q21" s="25"/>
      <c r="R21" s="17"/>
    </row>
    <row r="22" spans="1:18">
      <c r="B22" s="6">
        <f>+B20+1</f>
        <v>6</v>
      </c>
      <c r="C22" s="7"/>
      <c r="D22" s="16" t="s">
        <v>18</v>
      </c>
      <c r="E22" s="18" t="str">
        <f>"(Ln "&amp;B18&amp;" - Ln "&amp;B20&amp;")"</f>
        <v>(Ln 4 - Ln 5)</v>
      </c>
      <c r="F22" s="3"/>
      <c r="G22" s="25">
        <f>SUM(I22,K22,M22,O22,Q22,,)</f>
        <v>3948687.9373386349</v>
      </c>
      <c r="H22" s="19"/>
      <c r="I22" s="46">
        <f>I18-I20</f>
        <v>76791.141125814378</v>
      </c>
      <c r="J22" s="52"/>
      <c r="K22" s="46">
        <f t="shared" ref="K22:Q22" si="0">K18-K20</f>
        <v>819830.84296130028</v>
      </c>
      <c r="L22" s="46" t="s">
        <v>9</v>
      </c>
      <c r="M22" s="46">
        <f t="shared" si="0"/>
        <v>41888.349605714771</v>
      </c>
      <c r="N22" s="46" t="s">
        <v>9</v>
      </c>
      <c r="O22" s="46">
        <f t="shared" si="0"/>
        <v>1252861.7645255132</v>
      </c>
      <c r="P22" s="46" t="s">
        <v>9</v>
      </c>
      <c r="Q22" s="46">
        <f t="shared" si="0"/>
        <v>1757315.8391202921</v>
      </c>
      <c r="R22" s="17" t="s">
        <v>9</v>
      </c>
    </row>
    <row r="23" spans="1:18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1:18">
      <c r="B24" s="6">
        <f>B22+1</f>
        <v>7</v>
      </c>
      <c r="C24" s="7"/>
      <c r="D24" s="16" t="s">
        <v>43</v>
      </c>
      <c r="E24" s="18" t="str">
        <f>"(Worksheet R)"</f>
        <v>(Worksheet R)</v>
      </c>
      <c r="F24" s="3"/>
      <c r="G24" s="25">
        <f>SUM(I24,K24,M24,O24,Q24,,)</f>
        <v>-70180.885888415389</v>
      </c>
      <c r="H24" s="19"/>
      <c r="I24" s="46">
        <v>50054.068076998541</v>
      </c>
      <c r="J24" s="52"/>
      <c r="K24" s="54">
        <v>-442810.21115291188</v>
      </c>
      <c r="L24" s="17"/>
      <c r="M24" s="54">
        <v>82149.565368262905</v>
      </c>
      <c r="N24" s="17"/>
      <c r="O24" s="46">
        <v>-886709.63539787696</v>
      </c>
      <c r="P24" s="17"/>
      <c r="Q24" s="46">
        <v>1127135.3272171121</v>
      </c>
      <c r="R24" s="17"/>
    </row>
    <row r="25" spans="1:18" ht="15.75" thickBot="1">
      <c r="E25" s="3"/>
      <c r="F25" s="3"/>
      <c r="G25" s="46"/>
      <c r="H25" s="19"/>
      <c r="I25" s="52"/>
      <c r="J25" s="52"/>
      <c r="K25" s="53"/>
      <c r="L25" s="17"/>
      <c r="M25" s="53"/>
      <c r="N25" s="17"/>
      <c r="O25" s="52"/>
      <c r="P25" s="17"/>
      <c r="Q25" s="52"/>
      <c r="R25" s="17"/>
    </row>
    <row r="26" spans="1:18" ht="15.75" thickBot="1">
      <c r="B26" s="6">
        <f>B24+1</f>
        <v>8</v>
      </c>
      <c r="C26" s="7"/>
      <c r="D26" s="42" t="s">
        <v>22</v>
      </c>
      <c r="E26" s="21"/>
      <c r="F26" s="22"/>
      <c r="G26" s="43">
        <f>SUM(I26,K26,M26,O26,Q26,,)</f>
        <v>3878507.0514502195</v>
      </c>
      <c r="H26" s="48"/>
      <c r="I26" s="23">
        <f>+I22+I24</f>
        <v>126845.20920281293</v>
      </c>
      <c r="J26" s="25"/>
      <c r="K26" s="23">
        <f t="shared" ref="K26:Q26" si="1">+K22+K24</f>
        <v>377020.6318083884</v>
      </c>
      <c r="L26" s="25" t="s">
        <v>9</v>
      </c>
      <c r="M26" s="23">
        <f t="shared" si="1"/>
        <v>124037.91497397768</v>
      </c>
      <c r="N26" s="25" t="s">
        <v>9</v>
      </c>
      <c r="O26" s="23">
        <f t="shared" si="1"/>
        <v>366152.1291276362</v>
      </c>
      <c r="P26" s="25" t="s">
        <v>9</v>
      </c>
      <c r="Q26" s="23">
        <f t="shared" si="1"/>
        <v>2884451.1663374044</v>
      </c>
      <c r="R26" s="17"/>
    </row>
    <row r="27" spans="1:18">
      <c r="B27" s="6"/>
      <c r="C27" s="7"/>
      <c r="D27" s="16"/>
      <c r="E27" s="5"/>
      <c r="F27" s="18"/>
      <c r="G27" s="25"/>
      <c r="H27" s="40"/>
      <c r="I27" s="25"/>
      <c r="J27" s="24"/>
      <c r="K27" s="25"/>
      <c r="M27" s="25"/>
      <c r="O27" s="25"/>
      <c r="Q27" s="25"/>
    </row>
    <row r="28" spans="1:18" ht="15.75">
      <c r="A28" s="10" t="s">
        <v>10</v>
      </c>
      <c r="B28" s="15" t="s">
        <v>23</v>
      </c>
      <c r="C28" s="13"/>
      <c r="D28" s="5"/>
      <c r="E28" s="13"/>
      <c r="F28" s="5"/>
      <c r="H28" s="5"/>
      <c r="I28" s="5"/>
      <c r="J28" s="5"/>
    </row>
    <row r="29" spans="1:18">
      <c r="B29" s="6">
        <f>+B26+1</f>
        <v>9</v>
      </c>
      <c r="C29" s="7"/>
      <c r="D29" s="26" t="str">
        <f>""&amp;X1&amp;" AEP East Zone Annual MWh"</f>
        <v xml:space="preserve">  AEP East Zone Annual MWh</v>
      </c>
      <c r="E29" s="7"/>
      <c r="F29" s="18"/>
      <c r="G29" s="156">
        <v>132670000</v>
      </c>
      <c r="H29" s="5"/>
      <c r="I29" s="67"/>
      <c r="J29" s="3"/>
      <c r="K29" s="19"/>
    </row>
    <row r="30" spans="1:18">
      <c r="B30" s="6"/>
      <c r="C30" s="7"/>
      <c r="D30" s="66" t="s">
        <v>44</v>
      </c>
      <c r="E30" s="5"/>
      <c r="F30" s="18"/>
      <c r="G30" s="27"/>
      <c r="H30" s="5"/>
      <c r="I30" s="19"/>
      <c r="J30" s="3"/>
      <c r="K30" s="19"/>
    </row>
    <row r="31" spans="1:18">
      <c r="A31" s="28"/>
      <c r="B31" s="31">
        <f>+B29+1</f>
        <v>10</v>
      </c>
      <c r="C31" s="29"/>
      <c r="D31" s="26" t="s">
        <v>24</v>
      </c>
      <c r="E31" s="32" t="str">
        <f>"(Line "&amp;B26&amp;" / Line "&amp;B29&amp;")"</f>
        <v>(Line 8 / Line 9)</v>
      </c>
      <c r="F31" s="32"/>
      <c r="G31" s="45">
        <f>+G26/G29</f>
        <v>2.9234243246025624E-2</v>
      </c>
      <c r="H31" s="32"/>
      <c r="I31" s="19"/>
      <c r="J31" s="3"/>
      <c r="K31" s="19"/>
    </row>
    <row r="32" spans="1:18">
      <c r="A32" s="28"/>
      <c r="B32" s="31"/>
      <c r="C32" s="29"/>
      <c r="D32" s="26"/>
      <c r="E32" s="32"/>
      <c r="F32" s="32"/>
      <c r="H32" s="32"/>
      <c r="I32" s="19"/>
      <c r="J32" s="3"/>
      <c r="K32" s="19"/>
    </row>
    <row r="33" spans="1:19">
      <c r="A33" s="28"/>
      <c r="B33" s="31"/>
      <c r="C33" s="29"/>
      <c r="D33" s="26"/>
      <c r="E33" s="32"/>
      <c r="F33" s="29"/>
      <c r="H33" s="32"/>
      <c r="I33" s="19"/>
      <c r="J33" s="3"/>
      <c r="K33" s="19"/>
    </row>
    <row r="34" spans="1:19">
      <c r="B34" s="31"/>
      <c r="C34" s="29"/>
      <c r="D34" s="26"/>
      <c r="E34" s="32"/>
      <c r="F34" s="32"/>
      <c r="H34" s="32"/>
      <c r="I34" s="19"/>
      <c r="J34" s="3"/>
      <c r="K34" s="19"/>
      <c r="L34" s="30"/>
      <c r="M34" s="30"/>
      <c r="N34" s="30"/>
      <c r="O34" s="30"/>
      <c r="P34" s="30"/>
      <c r="Q34" s="30"/>
      <c r="R34" s="30"/>
      <c r="S34" s="30"/>
    </row>
    <row r="35" spans="1:19">
      <c r="B35" s="31"/>
      <c r="C35" s="29"/>
      <c r="D35" s="26"/>
      <c r="E35" s="32"/>
      <c r="F35" s="32"/>
      <c r="H35" s="32"/>
      <c r="I35" s="19"/>
      <c r="J35" s="3"/>
      <c r="K35" s="19"/>
      <c r="L35" s="30"/>
      <c r="M35" s="30"/>
      <c r="N35" s="30"/>
      <c r="O35" s="30"/>
      <c r="P35" s="30"/>
      <c r="Q35" s="30"/>
      <c r="R35" s="30"/>
      <c r="S35" s="30"/>
    </row>
    <row r="36" spans="1:19">
      <c r="B36" s="35"/>
      <c r="C36" s="32"/>
      <c r="D36" s="32"/>
      <c r="E36" s="32"/>
      <c r="F36" s="32"/>
      <c r="G36" s="30"/>
      <c r="H36" s="32"/>
      <c r="I36" s="32"/>
      <c r="J36" s="32"/>
      <c r="K36" s="32"/>
      <c r="L36" s="30"/>
      <c r="M36" s="30"/>
      <c r="N36" s="30"/>
      <c r="O36" s="30"/>
      <c r="P36" s="30"/>
      <c r="Q36" s="30"/>
      <c r="R36" s="30"/>
      <c r="S36" s="30"/>
    </row>
    <row r="37" spans="1:19">
      <c r="B37" s="35"/>
      <c r="C37" s="32"/>
      <c r="D37" s="32"/>
      <c r="E37" s="32"/>
      <c r="F37" s="32"/>
      <c r="G37" s="30"/>
      <c r="H37" s="32"/>
      <c r="I37" s="32"/>
      <c r="J37" s="32"/>
      <c r="K37" s="32"/>
      <c r="L37" s="30"/>
      <c r="M37" s="30"/>
      <c r="N37" s="30"/>
      <c r="O37" s="30"/>
      <c r="P37" s="30"/>
      <c r="Q37" s="30"/>
      <c r="R37" s="30"/>
      <c r="S37" s="30"/>
    </row>
    <row r="38" spans="1:19">
      <c r="B38" s="35"/>
      <c r="C38" s="32"/>
      <c r="D38" s="32"/>
      <c r="E38" s="32"/>
      <c r="F38" s="32"/>
      <c r="G38" s="30"/>
      <c r="H38" s="32"/>
      <c r="I38" s="32"/>
      <c r="J38" s="32"/>
      <c r="K38" s="32"/>
      <c r="L38" s="30"/>
      <c r="M38" s="30"/>
      <c r="N38" s="30"/>
      <c r="O38" s="30"/>
      <c r="P38" s="30"/>
      <c r="Q38" s="30"/>
      <c r="R38" s="30"/>
      <c r="S38" s="30"/>
    </row>
    <row r="39" spans="1:19">
      <c r="B39" s="36"/>
      <c r="C39" s="37"/>
      <c r="D39"/>
      <c r="E39"/>
      <c r="F39"/>
      <c r="G39" t="s">
        <v>9</v>
      </c>
      <c r="I39"/>
      <c r="J39"/>
      <c r="K39"/>
      <c r="L39"/>
      <c r="M39"/>
      <c r="N39"/>
      <c r="O39"/>
      <c r="P39"/>
      <c r="Q39"/>
      <c r="R39"/>
      <c r="S39" s="30"/>
    </row>
    <row r="40" spans="1:19">
      <c r="B40" s="36"/>
      <c r="C40" s="37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30"/>
    </row>
    <row r="41" spans="1:19">
      <c r="B41" s="36"/>
      <c r="C41" s="3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30"/>
    </row>
    <row r="42" spans="1:19">
      <c r="B42" s="36"/>
      <c r="C42" s="3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30"/>
    </row>
    <row r="43" spans="1:19">
      <c r="B43" s="36"/>
      <c r="C43" s="3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30"/>
    </row>
    <row r="44" spans="1:19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1:19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1:19">
      <c r="B46" s="38"/>
      <c r="C46" s="3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1:19">
      <c r="B47" s="38"/>
      <c r="C47" s="3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1:19">
      <c r="B48" s="38"/>
      <c r="C48" s="3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>
      <c r="B49" s="38"/>
      <c r="C49" s="3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>
      <c r="B56" s="3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2:19">
      <c r="B57" s="38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>
      <c r="B58" s="3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>
      <c r="B59" s="3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>
      <c r="B106" s="39"/>
      <c r="C106" s="28"/>
      <c r="D106" s="28"/>
      <c r="E106" s="28"/>
      <c r="F106" s="28"/>
      <c r="H106" s="28"/>
      <c r="I106" s="28"/>
      <c r="J106" s="28"/>
      <c r="K106" s="28"/>
    </row>
    <row r="107" spans="2:19">
      <c r="B107" s="39"/>
      <c r="C107" s="28"/>
      <c r="D107" s="28"/>
      <c r="E107" s="28"/>
      <c r="F107" s="28"/>
      <c r="H107" s="28"/>
      <c r="I107" s="28"/>
      <c r="J107" s="28"/>
      <c r="K107" s="28"/>
    </row>
    <row r="108" spans="2:19">
      <c r="B108" s="39"/>
      <c r="C108" s="28"/>
      <c r="D108" s="28"/>
      <c r="E108" s="28"/>
      <c r="F108" s="28"/>
      <c r="H108" s="28"/>
      <c r="I108" s="28"/>
      <c r="J108" s="28"/>
      <c r="K108" s="28"/>
    </row>
    <row r="109" spans="2:19">
      <c r="B109" s="39"/>
      <c r="C109" s="28"/>
      <c r="D109" s="28"/>
      <c r="E109" s="28"/>
      <c r="F109" s="28"/>
      <c r="H109" s="28"/>
      <c r="I109" s="28"/>
      <c r="J109" s="28"/>
      <c r="K109" s="28"/>
    </row>
    <row r="110" spans="2:19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9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9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>
      <c r="B963" s="39"/>
      <c r="C963" s="28"/>
      <c r="D963" s="28"/>
      <c r="E963" s="28"/>
      <c r="F963" s="28"/>
      <c r="H963" s="28"/>
      <c r="I963" s="28"/>
      <c r="J963" s="28"/>
      <c r="K963" s="28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7:R7"/>
    <mergeCell ref="A3:S3"/>
    <mergeCell ref="A4:S4"/>
    <mergeCell ref="A5:S5"/>
  </mergeCells>
  <phoneticPr fontId="0" type="noConversion"/>
  <printOptions horizontalCentered="1"/>
  <pageMargins left="0.2" right="0.23" top="1.75" bottom="0.25" header="1.25" footer="0.25"/>
  <pageSetup scale="50" orientation="landscape" r:id="rId2"/>
  <headerFooter alignWithMargins="0">
    <oddHeader>&amp;R&amp;18Schedule 1A  ATRR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czNjg5PC9Vc2VyTmFtZT48RGF0ZVRpbWU+MS8xOC8yMDIzIDY6MzI6MjI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2AE1D889-9492-4A35-85CA-8EC78F85328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71476BA-7CA3-42A5-B40E-9021745990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TransCo PJM Zonal Rates</vt:lpstr>
      <vt:lpstr>TransCo PJM Sch 1 Rates</vt:lpstr>
      <vt:lpstr>'TransCo PJM Sch 1 Rates'!Print_Area</vt:lpstr>
      <vt:lpstr>'TransCo PJM 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Joshua P Baluch</cp:lastModifiedBy>
  <cp:lastPrinted>2019-10-30T19:49:51Z</cp:lastPrinted>
  <dcterms:created xsi:type="dcterms:W3CDTF">2008-07-20T22:34:28Z</dcterms:created>
  <dcterms:modified xsi:type="dcterms:W3CDTF">2023-12-05T13:41:30Z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1852d97a-88be-4e4b-b500-8b49e57597a2</vt:lpwstr>
  </property>
  <property fmtid="{D5CDD505-2E9C-101B-9397-08002B2CF9AE}" pid="3" name="bjSaver">
    <vt:lpwstr>8nLAsadz8EP4iOoOx2MGVCL7CmDu+dAi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{2AE1D889-9492-4A35-85CA-8EC78F853286}</vt:lpwstr>
  </property>
</Properties>
</file>